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1e18bfe5c289f24/Desktop/"/>
    </mc:Choice>
  </mc:AlternateContent>
  <xr:revisionPtr revIDLastSave="1" documentId="13_ncr:8001_{7574CF7F-AB06-4DAC-A1D3-3662AE6E053D}" xr6:coauthVersionLast="47" xr6:coauthVersionMax="47" xr10:uidLastSave="{DF22F66A-4219-4B0B-84CD-61C1D55ACB7D}"/>
  <bookViews>
    <workbookView xWindow="-108" yWindow="-108" windowWidth="23256" windowHeight="12576" tabRatio="738" xr2:uid="{00000000-000D-0000-FFFF-FFFF00000000}"/>
  </bookViews>
  <sheets>
    <sheet name="Tender Costing" sheetId="12" r:id="rId1"/>
  </sheets>
  <definedNames>
    <definedName name="_xlnm.Print_Area" localSheetId="0">'Tender Costing'!$A$1:$L$453</definedName>
    <definedName name="_xlnm.Print_Titles" localSheetId="0">'Tender Costing'!$1:$2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12" l="1"/>
  <c r="K4" i="12" s="1"/>
  <c r="L5" i="12" s="1"/>
  <c r="J81" i="12"/>
  <c r="H451" i="12"/>
  <c r="H434" i="12"/>
  <c r="H435" i="12"/>
  <c r="J400" i="12"/>
  <c r="J401" i="12"/>
  <c r="J402" i="12"/>
  <c r="J403" i="12"/>
  <c r="J404" i="12"/>
  <c r="J405" i="12"/>
  <c r="J406" i="12"/>
  <c r="J407" i="12"/>
  <c r="J408" i="12"/>
  <c r="J409" i="12"/>
  <c r="J410" i="12"/>
  <c r="J411" i="12"/>
  <c r="J412" i="12"/>
  <c r="J413" i="12"/>
  <c r="J414" i="12"/>
  <c r="J415" i="12"/>
  <c r="J416" i="12"/>
  <c r="J417" i="12"/>
  <c r="J418" i="12"/>
  <c r="J419" i="12"/>
  <c r="J420" i="12"/>
  <c r="J421" i="12"/>
  <c r="J422" i="12"/>
  <c r="J423" i="12"/>
  <c r="J424" i="12"/>
  <c r="J425" i="12"/>
  <c r="J426" i="12"/>
  <c r="J427" i="12"/>
  <c r="J370" i="12"/>
  <c r="J371" i="12"/>
  <c r="J372" i="12"/>
  <c r="J373" i="12"/>
  <c r="J374" i="12"/>
  <c r="J375" i="12"/>
  <c r="J376" i="12"/>
  <c r="J377" i="12"/>
  <c r="J378" i="12"/>
  <c r="J379" i="12"/>
  <c r="J380" i="12"/>
  <c r="J381" i="12"/>
  <c r="J382" i="12"/>
  <c r="J383" i="12"/>
  <c r="J384" i="12"/>
  <c r="J385" i="12"/>
  <c r="J386" i="12"/>
  <c r="J387" i="12"/>
  <c r="J388" i="12"/>
  <c r="J389" i="12"/>
  <c r="J390" i="12"/>
  <c r="J391" i="12"/>
  <c r="J392" i="12"/>
  <c r="J393" i="12"/>
  <c r="J394" i="12"/>
  <c r="J395" i="12"/>
  <c r="J396" i="12"/>
  <c r="J336" i="12"/>
  <c r="J337" i="12"/>
  <c r="E343" i="12"/>
  <c r="J343" i="12" s="1"/>
  <c r="J345" i="12" s="1"/>
  <c r="I360" i="12" s="1"/>
  <c r="I362" i="12"/>
  <c r="J351" i="12"/>
  <c r="I363" i="12"/>
  <c r="J353" i="12"/>
  <c r="I364" i="12" s="1"/>
  <c r="I365" i="12"/>
  <c r="E341" i="12"/>
  <c r="J316" i="12"/>
  <c r="J317" i="12"/>
  <c r="J318" i="12"/>
  <c r="J319" i="12"/>
  <c r="J320" i="12"/>
  <c r="J321" i="12"/>
  <c r="J322" i="12"/>
  <c r="J323" i="12"/>
  <c r="J324" i="12"/>
  <c r="J325" i="12"/>
  <c r="J326" i="12"/>
  <c r="J327" i="12"/>
  <c r="J328" i="12"/>
  <c r="J274" i="12"/>
  <c r="J275" i="12"/>
  <c r="J276" i="12"/>
  <c r="J277" i="12"/>
  <c r="J278" i="12"/>
  <c r="J279" i="12"/>
  <c r="J280" i="12"/>
  <c r="J281" i="12"/>
  <c r="J282" i="12"/>
  <c r="J283" i="12"/>
  <c r="J284" i="12"/>
  <c r="J285" i="12"/>
  <c r="J286" i="12"/>
  <c r="J287" i="12"/>
  <c r="J288" i="12"/>
  <c r="J289" i="12"/>
  <c r="J290" i="12"/>
  <c r="J291" i="12"/>
  <c r="J292" i="12"/>
  <c r="J293" i="12"/>
  <c r="J294" i="12"/>
  <c r="J295" i="12"/>
  <c r="J296" i="12"/>
  <c r="J297" i="12"/>
  <c r="J298" i="12"/>
  <c r="J299" i="12"/>
  <c r="J300" i="12"/>
  <c r="J301" i="12"/>
  <c r="J302" i="12"/>
  <c r="J303" i="12"/>
  <c r="J304" i="12"/>
  <c r="J305" i="12"/>
  <c r="J306" i="12"/>
  <c r="J307" i="12"/>
  <c r="J308" i="12"/>
  <c r="J309" i="12"/>
  <c r="J236" i="12"/>
  <c r="L202" i="12"/>
  <c r="G167" i="12"/>
  <c r="G168" i="12"/>
  <c r="G169" i="12"/>
  <c r="G170" i="12"/>
  <c r="G171" i="12"/>
  <c r="G173" i="12"/>
  <c r="G174" i="12"/>
  <c r="G175" i="12"/>
  <c r="G176" i="12"/>
  <c r="G177" i="12"/>
  <c r="G178" i="12"/>
  <c r="G179" i="12"/>
  <c r="G180" i="12"/>
  <c r="G181" i="12"/>
  <c r="G182" i="12"/>
  <c r="G183" i="12"/>
  <c r="G184" i="12"/>
  <c r="G185" i="12"/>
  <c r="G186" i="12"/>
  <c r="G187" i="12"/>
  <c r="G188" i="12"/>
  <c r="G189" i="12"/>
  <c r="G190" i="12"/>
  <c r="G191" i="12"/>
  <c r="G192" i="12"/>
  <c r="G193" i="12"/>
  <c r="G194" i="12"/>
  <c r="G195" i="12"/>
  <c r="G196" i="12"/>
  <c r="G197" i="12"/>
  <c r="G198" i="12"/>
  <c r="G200" i="12"/>
  <c r="G201" i="12"/>
  <c r="H140" i="12"/>
  <c r="J140" i="12"/>
  <c r="H141" i="12"/>
  <c r="J141" i="12" s="1"/>
  <c r="H142" i="12"/>
  <c r="J142" i="12"/>
  <c r="H143" i="12"/>
  <c r="J143" i="12" s="1"/>
  <c r="H144" i="12"/>
  <c r="J144" i="12"/>
  <c r="H145" i="12"/>
  <c r="J145" i="12" s="1"/>
  <c r="H146" i="12"/>
  <c r="J146" i="12"/>
  <c r="H147" i="12"/>
  <c r="J147" i="12" s="1"/>
  <c r="H148" i="12"/>
  <c r="J148" i="12"/>
  <c r="H149" i="12"/>
  <c r="J149" i="12" s="1"/>
  <c r="H150" i="12"/>
  <c r="J150" i="12"/>
  <c r="H151" i="12"/>
  <c r="J151" i="12" s="1"/>
  <c r="H152" i="12"/>
  <c r="J152" i="12"/>
  <c r="H153" i="12"/>
  <c r="J153" i="12" s="1"/>
  <c r="H154" i="12"/>
  <c r="J154" i="12"/>
  <c r="E155" i="12"/>
  <c r="J80" i="12"/>
  <c r="H82" i="12"/>
  <c r="J82" i="12"/>
  <c r="H83" i="12"/>
  <c r="J83" i="12" s="1"/>
  <c r="J84" i="12"/>
  <c r="J85" i="12"/>
  <c r="J86" i="12"/>
  <c r="J87" i="12"/>
  <c r="J88" i="12"/>
  <c r="J89" i="12"/>
  <c r="J90" i="12"/>
  <c r="J91" i="12"/>
  <c r="J92" i="12"/>
  <c r="J93" i="12"/>
  <c r="J94" i="12"/>
  <c r="J95" i="12"/>
  <c r="J96" i="12"/>
  <c r="J97" i="12"/>
  <c r="J98" i="12"/>
  <c r="J99" i="12"/>
  <c r="J100" i="12"/>
  <c r="H101" i="12"/>
  <c r="J101" i="12" s="1"/>
  <c r="J102" i="12"/>
  <c r="J103" i="12"/>
  <c r="J104" i="12"/>
  <c r="J105" i="12"/>
  <c r="H106" i="12"/>
  <c r="J106" i="12" s="1"/>
  <c r="H107" i="12"/>
  <c r="J107" i="12" s="1"/>
  <c r="H108" i="12"/>
  <c r="J108" i="12" s="1"/>
  <c r="J109" i="12"/>
  <c r="J110" i="12"/>
  <c r="J111" i="12"/>
  <c r="J112" i="12"/>
  <c r="J113" i="12"/>
  <c r="J114" i="12"/>
  <c r="J115" i="12"/>
  <c r="J116" i="12"/>
  <c r="J117" i="12"/>
  <c r="J118" i="12"/>
  <c r="J119" i="12"/>
  <c r="J120" i="12"/>
  <c r="J121" i="12"/>
  <c r="J122" i="12"/>
  <c r="J123" i="12"/>
  <c r="J124" i="12"/>
  <c r="J125" i="12"/>
  <c r="J126" i="12"/>
  <c r="J127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K51" i="12"/>
  <c r="L51" i="12" s="1"/>
  <c r="K52" i="12"/>
  <c r="L52" i="12" s="1"/>
  <c r="K53" i="12"/>
  <c r="L53" i="12" s="1"/>
  <c r="K54" i="12"/>
  <c r="L54" i="12" s="1"/>
  <c r="K55" i="12"/>
  <c r="L55" i="12" s="1"/>
  <c r="K56" i="12"/>
  <c r="L56" i="12" s="1"/>
  <c r="K57" i="12"/>
  <c r="L57" i="12" s="1"/>
  <c r="K58" i="12"/>
  <c r="L58" i="12" s="1"/>
  <c r="K59" i="12"/>
  <c r="L59" i="12" s="1"/>
  <c r="K60" i="12"/>
  <c r="L60" i="12" s="1"/>
  <c r="K61" i="12"/>
  <c r="L61" i="12" s="1"/>
  <c r="K62" i="12"/>
  <c r="L62" i="12" s="1"/>
  <c r="K63" i="12"/>
  <c r="L63" i="12" s="1"/>
  <c r="K64" i="12"/>
  <c r="L64" i="12" s="1"/>
  <c r="K65" i="12"/>
  <c r="L65" i="12" s="1"/>
  <c r="K66" i="12"/>
  <c r="L66" i="12" s="1"/>
  <c r="K67" i="12"/>
  <c r="L67" i="12" s="1"/>
  <c r="K68" i="12"/>
  <c r="L68" i="12" s="1"/>
  <c r="N46" i="12"/>
  <c r="K25" i="12"/>
  <c r="L19" i="12"/>
  <c r="L20" i="12"/>
  <c r="L21" i="12"/>
  <c r="L22" i="12"/>
  <c r="L23" i="12"/>
  <c r="L24" i="12"/>
  <c r="L25" i="12"/>
  <c r="E27" i="12"/>
  <c r="E28" i="12"/>
  <c r="L29" i="12"/>
  <c r="L30" i="12"/>
  <c r="L31" i="12"/>
  <c r="A15" i="12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E13" i="12"/>
  <c r="J8" i="12" l="1"/>
  <c r="H453" i="12"/>
  <c r="F81" i="12"/>
  <c r="F106" i="12"/>
  <c r="F86" i="12"/>
  <c r="G86" i="12" s="1"/>
  <c r="F89" i="12"/>
  <c r="G89" i="12" s="1"/>
  <c r="K89" i="12" s="1"/>
  <c r="F94" i="12"/>
  <c r="G94" i="12" s="1"/>
  <c r="F97" i="12"/>
  <c r="G97" i="12" s="1"/>
  <c r="K97" i="12" s="1"/>
  <c r="F103" i="12"/>
  <c r="G103" i="12" s="1"/>
  <c r="K103" i="12" s="1"/>
  <c r="F109" i="12"/>
  <c r="G109" i="12" s="1"/>
  <c r="K109" i="12" s="1"/>
  <c r="F114" i="12"/>
  <c r="G114" i="12" s="1"/>
  <c r="F117" i="12"/>
  <c r="G117" i="12" s="1"/>
  <c r="K117" i="12" s="1"/>
  <c r="F122" i="12"/>
  <c r="G122" i="12" s="1"/>
  <c r="F125" i="12"/>
  <c r="G125" i="12" s="1"/>
  <c r="K125" i="12" s="1"/>
  <c r="H167" i="12"/>
  <c r="I167" i="12" s="1"/>
  <c r="J167" i="12" s="1"/>
  <c r="H170" i="12"/>
  <c r="I170" i="12" s="1"/>
  <c r="J170" i="12" s="1"/>
  <c r="H176" i="12"/>
  <c r="I176" i="12" s="1"/>
  <c r="J176" i="12" s="1"/>
  <c r="H179" i="12"/>
  <c r="I179" i="12" s="1"/>
  <c r="J179" i="12" s="1"/>
  <c r="H184" i="12"/>
  <c r="I184" i="12" s="1"/>
  <c r="J184" i="12" s="1"/>
  <c r="H187" i="12"/>
  <c r="I187" i="12" s="1"/>
  <c r="J187" i="12" s="1"/>
  <c r="H192" i="12"/>
  <c r="I192" i="12" s="1"/>
  <c r="J192" i="12" s="1"/>
  <c r="H195" i="12"/>
  <c r="I195" i="12" s="1"/>
  <c r="J195" i="12" s="1"/>
  <c r="H201" i="12"/>
  <c r="I201" i="12" s="1"/>
  <c r="J201" i="12" s="1"/>
  <c r="F212" i="12"/>
  <c r="H212" i="12" s="1"/>
  <c r="J212" i="12" s="1"/>
  <c r="F216" i="12"/>
  <c r="H216" i="12" s="1"/>
  <c r="J216" i="12" s="1"/>
  <c r="F221" i="12"/>
  <c r="H221" i="12" s="1"/>
  <c r="J221" i="12" s="1"/>
  <c r="F224" i="12"/>
  <c r="H224" i="12" s="1"/>
  <c r="J224" i="12" s="1"/>
  <c r="F229" i="12"/>
  <c r="H229" i="12" s="1"/>
  <c r="J229" i="12" s="1"/>
  <c r="F232" i="12"/>
  <c r="H232" i="12" s="1"/>
  <c r="J232" i="12" s="1"/>
  <c r="F248" i="12"/>
  <c r="G248" i="12" s="1"/>
  <c r="J248" i="12" s="1"/>
  <c r="F251" i="12"/>
  <c r="G251" i="12" s="1"/>
  <c r="J251" i="12" s="1"/>
  <c r="F258" i="12"/>
  <c r="G258" i="12" s="1"/>
  <c r="J258" i="12" s="1"/>
  <c r="F262" i="12"/>
  <c r="G262" i="12" s="1"/>
  <c r="J262" i="12" s="1"/>
  <c r="F435" i="12"/>
  <c r="F438" i="12"/>
  <c r="G438" i="12" s="1"/>
  <c r="J438" i="12" s="1"/>
  <c r="F443" i="12"/>
  <c r="G443" i="12" s="1"/>
  <c r="J443" i="12" s="1"/>
  <c r="F446" i="12"/>
  <c r="G446" i="12" s="1"/>
  <c r="J446" i="12" s="1"/>
  <c r="F142" i="12"/>
  <c r="G142" i="12" s="1"/>
  <c r="F145" i="12"/>
  <c r="G145" i="12" s="1"/>
  <c r="F150" i="12"/>
  <c r="G150" i="12" s="1"/>
  <c r="K150" i="12" s="1"/>
  <c r="F153" i="12"/>
  <c r="G153" i="12" s="1"/>
  <c r="K153" i="12" s="1"/>
  <c r="F83" i="12"/>
  <c r="F108" i="12"/>
  <c r="F82" i="12"/>
  <c r="F107" i="12"/>
  <c r="F84" i="12"/>
  <c r="G84" i="12" s="1"/>
  <c r="K84" i="12" s="1"/>
  <c r="F87" i="12"/>
  <c r="G87" i="12" s="1"/>
  <c r="F92" i="12"/>
  <c r="G92" i="12" s="1"/>
  <c r="F95" i="12"/>
  <c r="G95" i="12" s="1"/>
  <c r="F100" i="12"/>
  <c r="G100" i="12" s="1"/>
  <c r="K100" i="12" s="1"/>
  <c r="F104" i="12"/>
  <c r="G104" i="12" s="1"/>
  <c r="F112" i="12"/>
  <c r="G112" i="12" s="1"/>
  <c r="K112" i="12" s="1"/>
  <c r="F115" i="12"/>
  <c r="G115" i="12" s="1"/>
  <c r="F120" i="12"/>
  <c r="G120" i="12" s="1"/>
  <c r="K120" i="12" s="1"/>
  <c r="F123" i="12"/>
  <c r="G123" i="12" s="1"/>
  <c r="H172" i="12"/>
  <c r="I172" i="12" s="1"/>
  <c r="H168" i="12"/>
  <c r="I168" i="12" s="1"/>
  <c r="J168" i="12" s="1"/>
  <c r="H174" i="12"/>
  <c r="I174" i="12" s="1"/>
  <c r="J174" i="12" s="1"/>
  <c r="H177" i="12"/>
  <c r="I177" i="12" s="1"/>
  <c r="J177" i="12" s="1"/>
  <c r="H182" i="12"/>
  <c r="I182" i="12" s="1"/>
  <c r="J182" i="12" s="1"/>
  <c r="H185" i="12"/>
  <c r="I185" i="12" s="1"/>
  <c r="J185" i="12" s="1"/>
  <c r="H190" i="12"/>
  <c r="I190" i="12" s="1"/>
  <c r="J190" i="12" s="1"/>
  <c r="H193" i="12"/>
  <c r="I193" i="12" s="1"/>
  <c r="J193" i="12" s="1"/>
  <c r="H198" i="12"/>
  <c r="I198" i="12" s="1"/>
  <c r="J198" i="12" s="1"/>
  <c r="F214" i="12"/>
  <c r="F210" i="12"/>
  <c r="H210" i="12" s="1"/>
  <c r="J210" i="12" s="1"/>
  <c r="F213" i="12"/>
  <c r="H213" i="12" s="1"/>
  <c r="J213" i="12" s="1"/>
  <c r="F219" i="12"/>
  <c r="H219" i="12" s="1"/>
  <c r="J219" i="12" s="1"/>
  <c r="F222" i="12"/>
  <c r="H222" i="12" s="1"/>
  <c r="J222" i="12" s="1"/>
  <c r="F227" i="12"/>
  <c r="H227" i="12" s="1"/>
  <c r="J227" i="12" s="1"/>
  <c r="F230" i="12"/>
  <c r="H230" i="12" s="1"/>
  <c r="J230" i="12" s="1"/>
  <c r="F255" i="12"/>
  <c r="F249" i="12"/>
  <c r="G249" i="12" s="1"/>
  <c r="J249" i="12" s="1"/>
  <c r="F254" i="12"/>
  <c r="G254" i="12" s="1"/>
  <c r="J254" i="12" s="1"/>
  <c r="F259" i="12"/>
  <c r="G259" i="12" s="1"/>
  <c r="J259" i="12" s="1"/>
  <c r="F265" i="12"/>
  <c r="G265" i="12" s="1"/>
  <c r="J265" i="12" s="1"/>
  <c r="F449" i="12"/>
  <c r="F436" i="12"/>
  <c r="G436" i="12" s="1"/>
  <c r="J436" i="12" s="1"/>
  <c r="F441" i="12"/>
  <c r="G441" i="12" s="1"/>
  <c r="J441" i="12" s="1"/>
  <c r="F444" i="12"/>
  <c r="G444" i="12" s="1"/>
  <c r="J444" i="12" s="1"/>
  <c r="F140" i="12"/>
  <c r="G140" i="12" s="1"/>
  <c r="F143" i="12"/>
  <c r="G143" i="12" s="1"/>
  <c r="K143" i="12" s="1"/>
  <c r="F148" i="12"/>
  <c r="G148" i="12" s="1"/>
  <c r="F151" i="12"/>
  <c r="G151" i="12" s="1"/>
  <c r="K151" i="12" s="1"/>
  <c r="F85" i="12"/>
  <c r="G85" i="12" s="1"/>
  <c r="F90" i="12"/>
  <c r="G90" i="12" s="1"/>
  <c r="K90" i="12" s="1"/>
  <c r="F93" i="12"/>
  <c r="G93" i="12" s="1"/>
  <c r="F101" i="12"/>
  <c r="F88" i="12"/>
  <c r="G88" i="12" s="1"/>
  <c r="K88" i="12" s="1"/>
  <c r="F96" i="12"/>
  <c r="G96" i="12" s="1"/>
  <c r="F111" i="12"/>
  <c r="G111" i="12" s="1"/>
  <c r="F116" i="12"/>
  <c r="G116" i="12" s="1"/>
  <c r="F80" i="12"/>
  <c r="G80" i="12" s="1"/>
  <c r="F91" i="12"/>
  <c r="G91" i="12" s="1"/>
  <c r="K91" i="12" s="1"/>
  <c r="F98" i="12"/>
  <c r="G98" i="12" s="1"/>
  <c r="F113" i="12"/>
  <c r="G113" i="12" s="1"/>
  <c r="K113" i="12" s="1"/>
  <c r="F118" i="12"/>
  <c r="G118" i="12" s="1"/>
  <c r="K118" i="12" s="1"/>
  <c r="H199" i="12"/>
  <c r="I199" i="12" s="1"/>
  <c r="H171" i="12"/>
  <c r="I171" i="12" s="1"/>
  <c r="J171" i="12" s="1"/>
  <c r="H183" i="12"/>
  <c r="I183" i="12" s="1"/>
  <c r="J183" i="12" s="1"/>
  <c r="H188" i="12"/>
  <c r="I188" i="12" s="1"/>
  <c r="J188" i="12" s="1"/>
  <c r="H200" i="12"/>
  <c r="I200" i="12" s="1"/>
  <c r="J200" i="12" s="1"/>
  <c r="F211" i="12"/>
  <c r="H211" i="12" s="1"/>
  <c r="J211" i="12" s="1"/>
  <c r="F217" i="12"/>
  <c r="H217" i="12" s="1"/>
  <c r="J217" i="12" s="1"/>
  <c r="F228" i="12"/>
  <c r="H228" i="12" s="1"/>
  <c r="J228" i="12" s="1"/>
  <c r="F233" i="12"/>
  <c r="H233" i="12" s="1"/>
  <c r="J233" i="12" s="1"/>
  <c r="F257" i="12"/>
  <c r="G257" i="12" s="1"/>
  <c r="J257" i="12" s="1"/>
  <c r="F263" i="12"/>
  <c r="G263" i="12" s="1"/>
  <c r="J263" i="12" s="1"/>
  <c r="F450" i="12"/>
  <c r="F437" i="12"/>
  <c r="G437" i="12" s="1"/>
  <c r="J437" i="12" s="1"/>
  <c r="F448" i="12"/>
  <c r="G448" i="12" s="1"/>
  <c r="J448" i="12" s="1"/>
  <c r="F144" i="12"/>
  <c r="G144" i="12" s="1"/>
  <c r="K144" i="12" s="1"/>
  <c r="F99" i="12"/>
  <c r="G99" i="12" s="1"/>
  <c r="F105" i="12"/>
  <c r="G105" i="12" s="1"/>
  <c r="K105" i="12" s="1"/>
  <c r="F119" i="12"/>
  <c r="G119" i="12" s="1"/>
  <c r="F124" i="12"/>
  <c r="G124" i="12" s="1"/>
  <c r="K124" i="12" s="1"/>
  <c r="H173" i="12"/>
  <c r="I173" i="12" s="1"/>
  <c r="J173" i="12" s="1"/>
  <c r="H178" i="12"/>
  <c r="I178" i="12" s="1"/>
  <c r="J178" i="12" s="1"/>
  <c r="H189" i="12"/>
  <c r="I189" i="12" s="1"/>
  <c r="J189" i="12" s="1"/>
  <c r="H194" i="12"/>
  <c r="I194" i="12" s="1"/>
  <c r="J194" i="12" s="1"/>
  <c r="F218" i="12"/>
  <c r="H218" i="12" s="1"/>
  <c r="J218" i="12" s="1"/>
  <c r="F223" i="12"/>
  <c r="H223" i="12" s="1"/>
  <c r="J223" i="12" s="1"/>
  <c r="F235" i="12"/>
  <c r="H235" i="12" s="1"/>
  <c r="J235" i="12" s="1"/>
  <c r="F250" i="12"/>
  <c r="G250" i="12" s="1"/>
  <c r="J250" i="12" s="1"/>
  <c r="F264" i="12"/>
  <c r="G264" i="12" s="1"/>
  <c r="J264" i="12" s="1"/>
  <c r="F451" i="12"/>
  <c r="F439" i="12"/>
  <c r="G439" i="12" s="1"/>
  <c r="J439" i="12" s="1"/>
  <c r="F141" i="12"/>
  <c r="G141" i="12" s="1"/>
  <c r="K141" i="12" s="1"/>
  <c r="F146" i="12"/>
  <c r="G146" i="12" s="1"/>
  <c r="F102" i="12"/>
  <c r="G102" i="12" s="1"/>
  <c r="F110" i="12"/>
  <c r="G110" i="12" s="1"/>
  <c r="F126" i="12"/>
  <c r="G126" i="12" s="1"/>
  <c r="K126" i="12" s="1"/>
  <c r="H180" i="12"/>
  <c r="I180" i="12" s="1"/>
  <c r="J180" i="12" s="1"/>
  <c r="H191" i="12"/>
  <c r="I191" i="12" s="1"/>
  <c r="J191" i="12" s="1"/>
  <c r="H196" i="12"/>
  <c r="I196" i="12" s="1"/>
  <c r="J196" i="12" s="1"/>
  <c r="F225" i="12"/>
  <c r="H225" i="12" s="1"/>
  <c r="J225" i="12" s="1"/>
  <c r="F440" i="12"/>
  <c r="G440" i="12" s="1"/>
  <c r="J440" i="12" s="1"/>
  <c r="F152" i="12"/>
  <c r="G152" i="12" s="1"/>
  <c r="K152" i="12" s="1"/>
  <c r="H186" i="12"/>
  <c r="I186" i="12" s="1"/>
  <c r="J186" i="12" s="1"/>
  <c r="H197" i="12"/>
  <c r="I197" i="12" s="1"/>
  <c r="J197" i="12" s="1"/>
  <c r="F215" i="12"/>
  <c r="H215" i="12" s="1"/>
  <c r="J215" i="12" s="1"/>
  <c r="F226" i="12"/>
  <c r="H226" i="12" s="1"/>
  <c r="J226" i="12" s="1"/>
  <c r="F231" i="12"/>
  <c r="H231" i="12" s="1"/>
  <c r="J231" i="12" s="1"/>
  <c r="F253" i="12"/>
  <c r="G253" i="12" s="1"/>
  <c r="J253" i="12" s="1"/>
  <c r="F260" i="12"/>
  <c r="G260" i="12" s="1"/>
  <c r="J260" i="12" s="1"/>
  <c r="F447" i="12"/>
  <c r="G447" i="12" s="1"/>
  <c r="J447" i="12" s="1"/>
  <c r="F149" i="12"/>
  <c r="G149" i="12" s="1"/>
  <c r="F121" i="12"/>
  <c r="G121" i="12" s="1"/>
  <c r="H175" i="12"/>
  <c r="I175" i="12" s="1"/>
  <c r="J175" i="12" s="1"/>
  <c r="F234" i="12"/>
  <c r="F220" i="12"/>
  <c r="H220" i="12" s="1"/>
  <c r="J220" i="12" s="1"/>
  <c r="F256" i="12"/>
  <c r="F252" i="12"/>
  <c r="G252" i="12" s="1"/>
  <c r="J252" i="12" s="1"/>
  <c r="F433" i="12"/>
  <c r="F445" i="12"/>
  <c r="G445" i="12" s="1"/>
  <c r="J445" i="12" s="1"/>
  <c r="F147" i="12"/>
  <c r="G147" i="12" s="1"/>
  <c r="K147" i="12" s="1"/>
  <c r="F127" i="12"/>
  <c r="G127" i="12" s="1"/>
  <c r="K127" i="12" s="1"/>
  <c r="H169" i="12"/>
  <c r="I169" i="12" s="1"/>
  <c r="J169" i="12" s="1"/>
  <c r="H181" i="12"/>
  <c r="I181" i="12" s="1"/>
  <c r="J181" i="12" s="1"/>
  <c r="F209" i="12"/>
  <c r="H209" i="12" s="1"/>
  <c r="J209" i="12" s="1"/>
  <c r="F261" i="12"/>
  <c r="F434" i="12"/>
  <c r="F442" i="12"/>
  <c r="G442" i="12" s="1"/>
  <c r="J442" i="12" s="1"/>
  <c r="F154" i="12"/>
  <c r="G154" i="12" s="1"/>
  <c r="K154" i="12" s="1"/>
  <c r="K142" i="12"/>
  <c r="K145" i="12"/>
  <c r="J428" i="12"/>
  <c r="J397" i="12"/>
  <c r="K122" i="12"/>
  <c r="K114" i="12"/>
  <c r="K110" i="12"/>
  <c r="K102" i="12"/>
  <c r="K98" i="12"/>
  <c r="K94" i="12"/>
  <c r="K86" i="12"/>
  <c r="K149" i="12"/>
  <c r="K146" i="12"/>
  <c r="J310" i="12"/>
  <c r="J312" i="12" s="1"/>
  <c r="D20" i="12" s="1"/>
  <c r="E20" i="12" s="1"/>
  <c r="L69" i="12"/>
  <c r="K121" i="12"/>
  <c r="K93" i="12"/>
  <c r="K85" i="12"/>
  <c r="K9" i="12"/>
  <c r="L8" i="12" s="1"/>
  <c r="E334" i="12"/>
  <c r="K6" i="12"/>
  <c r="L7" i="12" s="1"/>
  <c r="E81" i="12" s="1"/>
  <c r="G81" i="12" s="1"/>
  <c r="K81" i="12" s="1"/>
  <c r="E14" i="12"/>
  <c r="K116" i="12"/>
  <c r="K104" i="12"/>
  <c r="K96" i="12"/>
  <c r="K92" i="12"/>
  <c r="K123" i="12"/>
  <c r="K119" i="12"/>
  <c r="K115" i="12"/>
  <c r="K111" i="12"/>
  <c r="K99" i="12"/>
  <c r="K95" i="12"/>
  <c r="K87" i="12"/>
  <c r="K80" i="12"/>
  <c r="J329" i="12"/>
  <c r="D21" i="12" s="1"/>
  <c r="E21" i="12" s="1"/>
  <c r="E256" i="12"/>
  <c r="E82" i="12"/>
  <c r="G82" i="12" s="1"/>
  <c r="K82" i="12" s="1"/>
  <c r="E107" i="12"/>
  <c r="G107" i="12" s="1"/>
  <c r="K107" i="12" s="1"/>
  <c r="E234" i="12"/>
  <c r="H234" i="12" s="1"/>
  <c r="J234" i="12" s="1"/>
  <c r="I69" i="12"/>
  <c r="H73" i="12" s="1"/>
  <c r="J69" i="12"/>
  <c r="H74" i="12" s="1"/>
  <c r="K148" i="12"/>
  <c r="K140" i="12"/>
  <c r="J129" i="12"/>
  <c r="E435" i="12" l="1"/>
  <c r="G435" i="12" s="1"/>
  <c r="J435" i="12" s="1"/>
  <c r="G256" i="12"/>
  <c r="J256" i="12" s="1"/>
  <c r="E106" i="12"/>
  <c r="G106" i="12" s="1"/>
  <c r="K106" i="12" s="1"/>
  <c r="E451" i="12"/>
  <c r="G451" i="12" s="1"/>
  <c r="J451" i="12" s="1"/>
  <c r="E255" i="12"/>
  <c r="G255" i="12" s="1"/>
  <c r="J255" i="12" s="1"/>
  <c r="E199" i="12"/>
  <c r="G199" i="12" s="1"/>
  <c r="J199" i="12" s="1"/>
  <c r="E101" i="12"/>
  <c r="G101" i="12" s="1"/>
  <c r="K101" i="12" s="1"/>
  <c r="E450" i="12"/>
  <c r="G450" i="12" s="1"/>
  <c r="J450" i="12" s="1"/>
  <c r="E433" i="12"/>
  <c r="G433" i="12" s="1"/>
  <c r="J433" i="12" s="1"/>
  <c r="E172" i="12"/>
  <c r="G172" i="12" s="1"/>
  <c r="J172" i="12" s="1"/>
  <c r="K155" i="12"/>
  <c r="H160" i="12" s="1"/>
  <c r="H162" i="12" s="1"/>
  <c r="D16" i="12" s="1"/>
  <c r="E16" i="12" s="1"/>
  <c r="E214" i="12"/>
  <c r="E236" i="12" s="1"/>
  <c r="E434" i="12"/>
  <c r="G434" i="12" s="1"/>
  <c r="J434" i="12" s="1"/>
  <c r="E347" i="12"/>
  <c r="J347" i="12" s="1"/>
  <c r="I361" i="12" s="1"/>
  <c r="J334" i="12"/>
  <c r="J338" i="12" s="1"/>
  <c r="I359" i="12" s="1"/>
  <c r="I366" i="12" s="1"/>
  <c r="D22" i="12" s="1"/>
  <c r="E22" i="12" s="1"/>
  <c r="E335" i="12"/>
  <c r="E108" i="12"/>
  <c r="G108" i="12" s="1"/>
  <c r="K108" i="12" s="1"/>
  <c r="E83" i="12"/>
  <c r="G83" i="12" s="1"/>
  <c r="K83" i="12" s="1"/>
  <c r="E449" i="12"/>
  <c r="G449" i="12" s="1"/>
  <c r="J449" i="12" s="1"/>
  <c r="E261" i="12"/>
  <c r="G261" i="12" s="1"/>
  <c r="J261" i="12" s="1"/>
  <c r="H75" i="12"/>
  <c r="K129" i="12" l="1"/>
  <c r="F133" i="12" s="1"/>
  <c r="F135" i="12" s="1"/>
  <c r="D15" i="12" s="1"/>
  <c r="E266" i="12"/>
  <c r="J453" i="12"/>
  <c r="D23" i="12" s="1"/>
  <c r="E23" i="12" s="1"/>
  <c r="J267" i="12"/>
  <c r="J269" i="12" s="1"/>
  <c r="D19" i="12" s="1"/>
  <c r="E19" i="12" s="1"/>
  <c r="E128" i="12"/>
  <c r="H214" i="12"/>
  <c r="J214" i="12" s="1"/>
  <c r="J237" i="12" s="1"/>
  <c r="J238" i="12" s="1"/>
  <c r="J240" i="12" s="1"/>
  <c r="I244" i="12" s="1"/>
  <c r="I245" i="12" s="1"/>
  <c r="D18" i="12" s="1"/>
  <c r="E18" i="12" s="1"/>
  <c r="J202" i="12"/>
  <c r="D17" i="12" s="1"/>
  <c r="E17" i="12" s="1"/>
  <c r="E15" i="12"/>
  <c r="D24" i="12" l="1"/>
  <c r="K26" i="12" s="1"/>
  <c r="E24" i="12"/>
  <c r="I44" i="12" l="1"/>
  <c r="L44" i="12" s="1"/>
  <c r="L26" i="12"/>
  <c r="L27" i="12" s="1"/>
  <c r="E25" i="12" s="1"/>
  <c r="E26" i="12" s="1"/>
  <c r="E29" i="12" s="1"/>
  <c r="K27" i="12"/>
  <c r="D25" i="12" s="1"/>
  <c r="D26" i="12" s="1"/>
  <c r="E30" i="12" l="1"/>
  <c r="E31" i="12" s="1"/>
  <c r="D29" i="12"/>
  <c r="E43" i="12"/>
  <c r="E32" i="12" l="1"/>
  <c r="E33" i="12" s="1"/>
  <c r="D30" i="12"/>
  <c r="D31" i="12" s="1"/>
  <c r="E40" i="12"/>
  <c r="F40" i="12" s="1"/>
  <c r="D32" i="12" l="1"/>
  <c r="D33" i="12" s="1"/>
  <c r="E34" i="12"/>
  <c r="E35" i="12" s="1"/>
  <c r="D34" i="12" l="1"/>
  <c r="D35" i="12" s="1"/>
  <c r="E42" i="12"/>
  <c r="F42" i="12" s="1"/>
  <c r="K10" i="12" l="1"/>
  <c r="J10" i="12" s="1"/>
  <c r="I41" i="12"/>
  <c r="J41" i="12"/>
  <c r="K41" i="12"/>
  <c r="J42" i="12" l="1"/>
  <c r="J43" i="12"/>
  <c r="K42" i="12"/>
  <c r="K43" i="12"/>
  <c r="K45" i="12" s="1"/>
  <c r="K46" i="12" s="1"/>
  <c r="I43" i="12"/>
  <c r="L41" i="12"/>
  <c r="I42" i="12"/>
  <c r="I45" i="12" s="1"/>
  <c r="J45" i="12" l="1"/>
  <c r="J46" i="12" s="1"/>
  <c r="F45" i="12"/>
  <c r="L45" i="12"/>
  <c r="I46" i="12"/>
  <c r="L43" i="12"/>
  <c r="L42" i="12"/>
  <c r="L46" i="12" l="1"/>
  <c r="E41" i="12"/>
  <c r="F41" i="12" s="1"/>
</calcChain>
</file>

<file path=xl/sharedStrings.xml><?xml version="1.0" encoding="utf-8"?>
<sst xmlns="http://schemas.openxmlformats.org/spreadsheetml/2006/main" count="519" uniqueCount="362">
  <si>
    <t>Administration</t>
  </si>
  <si>
    <t>2% x bond value</t>
  </si>
  <si>
    <t>i&amp;M Bank</t>
  </si>
  <si>
    <t>2.5/1000 x bond value</t>
  </si>
  <si>
    <t>35% x premium on wage payable</t>
  </si>
  <si>
    <t>7% x Value</t>
  </si>
  <si>
    <t>Difference</t>
  </si>
  <si>
    <t xml:space="preserve">5% x wage payable </t>
  </si>
  <si>
    <t>3/1000 x Value</t>
  </si>
  <si>
    <t>3/1000 x  value</t>
  </si>
  <si>
    <t>Engineer's Estimate</t>
  </si>
  <si>
    <t>Concrete Foreman</t>
  </si>
  <si>
    <t>Pipework Foreman</t>
  </si>
  <si>
    <t>Projects  Manager</t>
  </si>
  <si>
    <t>Finance Manager</t>
  </si>
  <si>
    <t>Engineering Surveyor</t>
  </si>
  <si>
    <t>Site Accountant</t>
  </si>
  <si>
    <t>Excavation H/man / Asst Surveyor</t>
  </si>
  <si>
    <t>Driver/Operators</t>
  </si>
  <si>
    <t>Description</t>
  </si>
  <si>
    <t>Unit</t>
  </si>
  <si>
    <t>Qty</t>
  </si>
  <si>
    <t>Remarks</t>
  </si>
  <si>
    <t>A</t>
  </si>
  <si>
    <t>B</t>
  </si>
  <si>
    <t>C</t>
  </si>
  <si>
    <t>D</t>
  </si>
  <si>
    <t>E</t>
  </si>
  <si>
    <t>F</t>
  </si>
  <si>
    <t>G</t>
  </si>
  <si>
    <t>No</t>
  </si>
  <si>
    <t>Resource</t>
  </si>
  <si>
    <t>Item</t>
  </si>
  <si>
    <t>Financial Cost</t>
  </si>
  <si>
    <t>Risk</t>
  </si>
  <si>
    <t>TOTAL</t>
  </si>
  <si>
    <t>BID TOTAL</t>
  </si>
  <si>
    <t>Rate</t>
  </si>
  <si>
    <t>Amount</t>
  </si>
  <si>
    <t>Excavation</t>
  </si>
  <si>
    <t>Formwork</t>
  </si>
  <si>
    <t>Others</t>
  </si>
  <si>
    <t>Total</t>
  </si>
  <si>
    <t>[1]</t>
  </si>
  <si>
    <t>SN</t>
  </si>
  <si>
    <t>Sub-Total</t>
  </si>
  <si>
    <t>PLANT</t>
  </si>
  <si>
    <t>Plant Manager</t>
  </si>
  <si>
    <t>EXECUTION</t>
  </si>
  <si>
    <t>Site Engineer</t>
  </si>
  <si>
    <t>OTHERS</t>
  </si>
  <si>
    <t>[2]</t>
  </si>
  <si>
    <t>[3]</t>
  </si>
  <si>
    <t>Unit Cost</t>
  </si>
  <si>
    <t>Cap Cost</t>
  </si>
  <si>
    <t>Charge %</t>
  </si>
  <si>
    <t>Allocated Cost</t>
  </si>
  <si>
    <t>Total Consuption(Lt)</t>
  </si>
  <si>
    <t>Estimate by "No of Plant"</t>
  </si>
  <si>
    <t>TOTAL Amt</t>
  </si>
  <si>
    <t>Residential: Senior</t>
  </si>
  <si>
    <t>Residential: Junior</t>
  </si>
  <si>
    <t>Residential; Labour line</t>
  </si>
  <si>
    <t>Water Supply</t>
  </si>
  <si>
    <t>Site Access</t>
  </si>
  <si>
    <t>Electricity</t>
  </si>
  <si>
    <t>Fencing</t>
  </si>
  <si>
    <t>Workshops</t>
  </si>
  <si>
    <t>Domestic Furnitures</t>
  </si>
  <si>
    <t>Office Furnitures</t>
  </si>
  <si>
    <t>Computers and Stationeries</t>
  </si>
  <si>
    <t>Telephone</t>
  </si>
  <si>
    <t>Land Rental</t>
  </si>
  <si>
    <t>Rental Accomodation</t>
  </si>
  <si>
    <t>Fuel Storage</t>
  </si>
  <si>
    <t>Item No</t>
  </si>
  <si>
    <t>[7]</t>
  </si>
  <si>
    <t>Tools</t>
  </si>
  <si>
    <t>Trench support</t>
  </si>
  <si>
    <t>Excavation Tools</t>
  </si>
  <si>
    <t>Concretework</t>
  </si>
  <si>
    <t>Scafford</t>
  </si>
  <si>
    <t>Moulds</t>
  </si>
  <si>
    <t>Planking, timber etc</t>
  </si>
  <si>
    <t>Nails, fastners, bolts etc</t>
  </si>
  <si>
    <t>Moulds oil, lubricant etc</t>
  </si>
  <si>
    <t>Polythene, hassian cover etc</t>
  </si>
  <si>
    <t>Pipework</t>
  </si>
  <si>
    <t>Excavation tools</t>
  </si>
  <si>
    <t>Pressure Testing Eqp</t>
  </si>
  <si>
    <t>Metalwork</t>
  </si>
  <si>
    <t>Tools and tackles</t>
  </si>
  <si>
    <t>Cutting, grinding discs</t>
  </si>
  <si>
    <t>Cutting gas and nozzles</t>
  </si>
  <si>
    <t>Electricalworks</t>
  </si>
  <si>
    <t>Eqp for cablework</t>
  </si>
  <si>
    <t>Specialised tools</t>
  </si>
  <si>
    <t>Specialised Work</t>
  </si>
  <si>
    <t>Coffferdam</t>
  </si>
  <si>
    <t>Piling</t>
  </si>
  <si>
    <t>[8]</t>
  </si>
  <si>
    <t>[9]</t>
  </si>
  <si>
    <t>Contractors All Risk (CAR) POLICY</t>
  </si>
  <si>
    <t>Total Contract Value</t>
  </si>
  <si>
    <t>Value of 3rd Party IN</t>
  </si>
  <si>
    <t>Value of CP</t>
  </si>
  <si>
    <t>Value of uninsured PT</t>
  </si>
  <si>
    <t>WORKMAN'S COMP (WC)</t>
  </si>
  <si>
    <t>Total wage payable</t>
  </si>
  <si>
    <t>Common Law</t>
  </si>
  <si>
    <t>PERFORMANCE BOND</t>
  </si>
  <si>
    <t>ADVANCE BOND</t>
  </si>
  <si>
    <t>Calculation</t>
  </si>
  <si>
    <t>Calculate Premium for CAR Policy:</t>
  </si>
  <si>
    <t>Calculate Premium for WC Policy:</t>
  </si>
  <si>
    <t>Calculate Premium for Performance Bond:</t>
  </si>
  <si>
    <t>Calculate Premium for Advance Bond:</t>
  </si>
  <si>
    <t>Employers Liability</t>
  </si>
  <si>
    <t>Painting Brushes</t>
  </si>
  <si>
    <t>Sand Papers</t>
  </si>
  <si>
    <t>Months</t>
  </si>
  <si>
    <t>BID BOND</t>
  </si>
  <si>
    <t>COMMERCIAL VEHICLES</t>
  </si>
  <si>
    <t>Period (Months)</t>
  </si>
  <si>
    <t>Rate (Break down)</t>
  </si>
  <si>
    <t>Amount (Break down)</t>
  </si>
  <si>
    <t>Transport</t>
  </si>
  <si>
    <t>Low Loader</t>
  </si>
  <si>
    <t>Tractor/Trailer</t>
  </si>
  <si>
    <t>Total FL Cost</t>
  </si>
  <si>
    <t>Camp</t>
  </si>
  <si>
    <t>Temporary Materials</t>
  </si>
  <si>
    <t>Insurances</t>
  </si>
  <si>
    <t>Summary Unallocated Plant</t>
  </si>
  <si>
    <t>Cost of material</t>
  </si>
  <si>
    <t>Amount for material</t>
  </si>
  <si>
    <t>Summary</t>
  </si>
  <si>
    <t>1. Cost of materials</t>
  </si>
  <si>
    <t>2. Cost of transport (Including offloading and waste)</t>
  </si>
  <si>
    <t>1. Cost of Labour</t>
  </si>
  <si>
    <t>[6]</t>
  </si>
  <si>
    <t>Bid Bond</t>
  </si>
  <si>
    <t>Summary Site Supervision</t>
  </si>
  <si>
    <t>Total Insurances</t>
  </si>
  <si>
    <t>Total Dayworks</t>
  </si>
  <si>
    <t>Total Temporary Materials</t>
  </si>
  <si>
    <t>Total Unallocated Plant</t>
  </si>
  <si>
    <t>Total Materials</t>
  </si>
  <si>
    <t>Total Labour</t>
  </si>
  <si>
    <t>Total Site Supervision</t>
  </si>
  <si>
    <t>Total Camp</t>
  </si>
  <si>
    <t>Total Salaries</t>
  </si>
  <si>
    <t>Summary For Labour</t>
  </si>
  <si>
    <t>Summary For Materials</t>
  </si>
  <si>
    <t>Unit-Months</t>
  </si>
  <si>
    <t>Man-Months</t>
  </si>
  <si>
    <t>Add 10% Transport to site</t>
  </si>
  <si>
    <t>CASHFLOW ANALYSIS</t>
  </si>
  <si>
    <t>Certs</t>
  </si>
  <si>
    <t>Totals</t>
  </si>
  <si>
    <t>Income(Incl)</t>
  </si>
  <si>
    <t>Vat(16%)</t>
  </si>
  <si>
    <t>Contigencies</t>
  </si>
  <si>
    <t>Contigencies (% )</t>
  </si>
  <si>
    <t>Withholding Tax</t>
  </si>
  <si>
    <t>VAT (16%)</t>
  </si>
  <si>
    <t>Stores</t>
  </si>
  <si>
    <t>Days used/Month</t>
  </si>
  <si>
    <t>Total Days</t>
  </si>
  <si>
    <t>Value</t>
  </si>
  <si>
    <t>[12]</t>
  </si>
  <si>
    <t>Total  Provisional Sums</t>
  </si>
  <si>
    <t>Direct Expenditure</t>
  </si>
  <si>
    <t>Retn 5%</t>
  </si>
  <si>
    <t>Junior Engineer</t>
  </si>
  <si>
    <t>Total Head Office Allocation</t>
  </si>
  <si>
    <t>Consumption/Day Kshs</t>
  </si>
  <si>
    <t xml:space="preserve">TOTAL </t>
  </si>
  <si>
    <t xml:space="preserve">Site Offices </t>
  </si>
  <si>
    <t>Flow</t>
  </si>
  <si>
    <t>Withholding Tax 3%</t>
  </si>
  <si>
    <t>VAT</t>
  </si>
  <si>
    <t>Add "On-Cost"…5… %</t>
  </si>
  <si>
    <t>Add 5% Contingency</t>
  </si>
  <si>
    <t>Add 5% for oils etc</t>
  </si>
  <si>
    <t>Stores/fuel Helpers</t>
  </si>
  <si>
    <t>Domestic/office Workers</t>
  </si>
  <si>
    <t>Security (Watchmen)</t>
  </si>
  <si>
    <t>Housing</t>
  </si>
  <si>
    <t>Pneumatic Roller</t>
  </si>
  <si>
    <t>Grader</t>
  </si>
  <si>
    <t>Net Salary</t>
  </si>
  <si>
    <t>Site Petty cash Expenditure</t>
  </si>
  <si>
    <t>Alt Plant No</t>
  </si>
  <si>
    <t>Alt Qty</t>
  </si>
  <si>
    <t>Net Wage</t>
  </si>
  <si>
    <t>Amt-1 Vatable</t>
  </si>
  <si>
    <t>Amt-1Not Vatable</t>
  </si>
  <si>
    <t>Discount</t>
  </si>
  <si>
    <t>Flow %</t>
  </si>
  <si>
    <t>Engineer's Requirements</t>
  </si>
  <si>
    <t>Provisional Sum</t>
  </si>
  <si>
    <t>Dayworks</t>
  </si>
  <si>
    <t>Chief Mechanic</t>
  </si>
  <si>
    <t>Junior  Accountant</t>
  </si>
  <si>
    <t>Junior Mechanic</t>
  </si>
  <si>
    <t>Senior Storekeeper</t>
  </si>
  <si>
    <t>Supervision</t>
  </si>
  <si>
    <t>Resposibilities</t>
  </si>
  <si>
    <t>Finance Management (F.D)</t>
  </si>
  <si>
    <t>Fixed cost</t>
  </si>
  <si>
    <t>Varing cost</t>
  </si>
  <si>
    <t>LB</t>
  </si>
  <si>
    <t>PT</t>
  </si>
  <si>
    <t>SS</t>
  </si>
  <si>
    <t>CP</t>
  </si>
  <si>
    <t>FL</t>
  </si>
  <si>
    <t>TM</t>
  </si>
  <si>
    <t>IN</t>
  </si>
  <si>
    <t>RE</t>
  </si>
  <si>
    <t>Factor</t>
  </si>
  <si>
    <t>Dwks</t>
  </si>
  <si>
    <t>(I) Fuel</t>
  </si>
  <si>
    <t xml:space="preserve">Plant </t>
  </si>
  <si>
    <t xml:space="preserve"> Fuel</t>
  </si>
  <si>
    <t xml:space="preserve">Temporary Material </t>
  </si>
  <si>
    <t>Provisional Sums</t>
  </si>
  <si>
    <t>Head Office Requirements</t>
  </si>
  <si>
    <t>HO OH</t>
  </si>
  <si>
    <t>Offices Rent</t>
  </si>
  <si>
    <t>Elecricity</t>
  </si>
  <si>
    <t>EARTHWORKS</t>
  </si>
  <si>
    <t>Sub Total (10-11)</t>
  </si>
  <si>
    <t xml:space="preserve">Sub-Total (15-16) </t>
  </si>
  <si>
    <t xml:space="preserve">Sub-Total (17-18) </t>
  </si>
  <si>
    <t xml:space="preserve">Factor </t>
  </si>
  <si>
    <t>Unusual Conditions</t>
  </si>
  <si>
    <t>Demobilisation</t>
  </si>
  <si>
    <t>Escalation Cost</t>
  </si>
  <si>
    <t>Tax Element (Income Tax)</t>
  </si>
  <si>
    <t>PC/PS</t>
  </si>
  <si>
    <t>Conting</t>
  </si>
  <si>
    <t>PRO</t>
  </si>
  <si>
    <t>Secretary</t>
  </si>
  <si>
    <t>Mechanic</t>
  </si>
  <si>
    <t>Headman</t>
  </si>
  <si>
    <t>Security</t>
  </si>
  <si>
    <t>Electricalwork Foreman</t>
  </si>
  <si>
    <t>Mechanicalwork Foreman</t>
  </si>
  <si>
    <t>Specialised works Foreman</t>
  </si>
  <si>
    <t>Estimate by "Trade Activity"</t>
  </si>
  <si>
    <t>For Eathworks</t>
  </si>
  <si>
    <t>COST ANALYSIS</t>
  </si>
  <si>
    <t>For Rock Excavation</t>
  </si>
  <si>
    <t>For trenching</t>
  </si>
  <si>
    <t>For Road Pavement</t>
  </si>
  <si>
    <t>For Concreteworks</t>
  </si>
  <si>
    <t>For Formwork</t>
  </si>
  <si>
    <t>For joinery and Timber</t>
  </si>
  <si>
    <t>For Reinforcement</t>
  </si>
  <si>
    <t>For Metalwork</t>
  </si>
  <si>
    <t>For M&amp;E Works</t>
  </si>
  <si>
    <t>For General Works</t>
  </si>
  <si>
    <t>For Electrical Works</t>
  </si>
  <si>
    <t>For Material Handling Work</t>
  </si>
  <si>
    <t>Profits as a % of Bid Total</t>
  </si>
  <si>
    <t>Site Supervision (SS)</t>
  </si>
  <si>
    <t>Plant (PT)</t>
  </si>
  <si>
    <t>Dozer</t>
  </si>
  <si>
    <t>Scrapper</t>
  </si>
  <si>
    <t>Track Shovel</t>
  </si>
  <si>
    <t>Wheel Loader</t>
  </si>
  <si>
    <t>Compactor, large</t>
  </si>
  <si>
    <t>Compactor, Small</t>
  </si>
  <si>
    <t>Bowser</t>
  </si>
  <si>
    <t>Dump Truck</t>
  </si>
  <si>
    <t>Compressor</t>
  </si>
  <si>
    <t>Rock Exc Equipment</t>
  </si>
  <si>
    <t>CONCRETEWORK</t>
  </si>
  <si>
    <t>Status</t>
  </si>
  <si>
    <t>Mixer, 21/14</t>
  </si>
  <si>
    <t>Mixer, 14/10</t>
  </si>
  <si>
    <t>Mixer, 10/07</t>
  </si>
  <si>
    <t>Batching Plant</t>
  </si>
  <si>
    <t>Conrete Pump</t>
  </si>
  <si>
    <t>Concrete Truck Mixer</t>
  </si>
  <si>
    <t>Poker Vibrator</t>
  </si>
  <si>
    <t>TRANSPORT</t>
  </si>
  <si>
    <t>Flat Bed Lorry, 15T +</t>
  </si>
  <si>
    <t>Tipper, 7T to 10T</t>
  </si>
  <si>
    <t>Tipper, 12T to 20T</t>
  </si>
  <si>
    <t>Canter, 3T to 4T</t>
  </si>
  <si>
    <t>Fuel (FL)</t>
  </si>
  <si>
    <t>EARTHWORK</t>
  </si>
  <si>
    <t xml:space="preserve">Amount for transport </t>
  </si>
  <si>
    <t>Head Office</t>
  </si>
  <si>
    <t>Profits</t>
  </si>
  <si>
    <t>C.E.O Analysis</t>
  </si>
  <si>
    <t>Mark-up Amount</t>
  </si>
  <si>
    <t>Secialized Operator</t>
  </si>
  <si>
    <t>COST ESTIMATE SUMMARY</t>
  </si>
  <si>
    <t>Compactor</t>
  </si>
  <si>
    <t>Camp (CP)</t>
  </si>
  <si>
    <t>Pick-up, 1T</t>
  </si>
  <si>
    <t xml:space="preserve"> Pick-up, 1T</t>
  </si>
  <si>
    <t>[4]</t>
  </si>
  <si>
    <t>[10]</t>
  </si>
  <si>
    <t>[11]</t>
  </si>
  <si>
    <t>[5]</t>
  </si>
  <si>
    <t>Units</t>
  </si>
  <si>
    <t>Direct Cost (DC)</t>
  </si>
  <si>
    <t>Unallocated Labour</t>
  </si>
  <si>
    <t>Unallocated Labour (LB)</t>
  </si>
  <si>
    <t>Amt (1) "CEO"</t>
  </si>
  <si>
    <t>Amt (2) "QS"</t>
  </si>
  <si>
    <t>Clerk</t>
  </si>
  <si>
    <t>General Assistance</t>
  </si>
  <si>
    <t>Domestic Worer</t>
  </si>
  <si>
    <t>MANAGEMENT</t>
  </si>
  <si>
    <t>Assitant for Plant Section</t>
  </si>
  <si>
    <t>Metal work Foreman</t>
  </si>
  <si>
    <t>Earthwork Foreman</t>
  </si>
  <si>
    <t>Bitumenwork Foreman</t>
  </si>
  <si>
    <t>Junior Foreman</t>
  </si>
  <si>
    <t>Assistant Surveyor</t>
  </si>
  <si>
    <t>Hydraulicwork Foreman</t>
  </si>
  <si>
    <t>Instrumentation Foreman</t>
  </si>
  <si>
    <t>Fitters</t>
  </si>
  <si>
    <t>Turners</t>
  </si>
  <si>
    <t xml:space="preserve">Wiring </t>
  </si>
  <si>
    <t>Withholding Tax as a % of Bid Total</t>
  </si>
  <si>
    <t>Steel Fixing Foremen</t>
  </si>
  <si>
    <t>Timber work Foreman</t>
  </si>
  <si>
    <t>TENDER PREPARATION REPORT (TPR)</t>
  </si>
  <si>
    <t>Lorry, 7T to 10T</t>
  </si>
  <si>
    <t>OFFICE OPERATIONS</t>
  </si>
  <si>
    <t>HEAD OFFICE SALARIES</t>
  </si>
  <si>
    <t xml:space="preserve">Mark-up %  </t>
  </si>
  <si>
    <t>Sub Total (1-10)</t>
  </si>
  <si>
    <t>Notes</t>
  </si>
  <si>
    <t>Bid Bond Details</t>
  </si>
  <si>
    <t>1USD to L.C Exchange rate</t>
  </si>
  <si>
    <t>Mark-up on PCs &amp; Dwks</t>
  </si>
  <si>
    <t>Direct Cost (BOQ basic amount)</t>
  </si>
  <si>
    <t>Profit - Basic</t>
  </si>
  <si>
    <t>Resource Adjustment Factor / Systems</t>
  </si>
  <si>
    <t>Contract Period  (Theoretical)</t>
  </si>
  <si>
    <t>Contract Period  (Actual)</t>
  </si>
  <si>
    <t>Direct Cost (BOQ basic amount less PCs &amp; Dwks)</t>
  </si>
  <si>
    <t>PM (a)</t>
  </si>
  <si>
    <t>PM(b)</t>
  </si>
  <si>
    <t>Resource Adjustment Factor (Theoretical)</t>
  </si>
  <si>
    <t xml:space="preserve">Heavy Plant Operator </t>
  </si>
  <si>
    <t xml:space="preserve">Directors </t>
  </si>
  <si>
    <t>Finance Section</t>
  </si>
  <si>
    <t>Quantity Surveyor</t>
  </si>
  <si>
    <t>Clerks (Store &amp; Fuel)</t>
  </si>
  <si>
    <t>Surveyors</t>
  </si>
  <si>
    <t>Unallocated plant</t>
  </si>
  <si>
    <t xml:space="preserve">Present Market Value </t>
  </si>
  <si>
    <t>Site Agent</t>
  </si>
  <si>
    <r>
      <t xml:space="preserve">Rate </t>
    </r>
    <r>
      <rPr>
        <sz val="12"/>
        <rFont val="Arial"/>
        <family val="2"/>
      </rPr>
      <t xml:space="preserve">     (All in)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</si>
</sst>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3" formatCode="_(* #,##0.00_);_(* \(#,##0.00\);_(* &quot;-&quot;??_);_(@_)"/>
    <numFmt numFmtId="164" formatCode="0.000"/>
    <numFmt numFmtId="165" formatCode="_(* #,##0.0_);_(* \(#,##0.0\);_(* &quot;-&quot;?_);_(@_)"/>
    <numFmt numFmtId="166" formatCode="_(* #,##0.000_);_(* \(#,##0.000\);_(* &quot;-&quot;???_);_(@_)"/>
    <numFmt numFmtId="167" formatCode="0.0000"/>
    <numFmt numFmtId="168" formatCode="0.0000%"/>
    <numFmt numFmtId="169" formatCode="#,##0.0_);\(#,##0.0\)"/>
    <numFmt numFmtId="170" formatCode="0.000000%"/>
  </numFmts>
  <fonts count="6" x14ac:knownFonts="1">
    <font>
      <sz val="10"/>
      <name val="Arial"/>
    </font>
    <font>
      <sz val="8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5">
    <xf numFmtId="0" fontId="0" fillId="0" borderId="0" xfId="0"/>
    <xf numFmtId="0" fontId="2" fillId="0" borderId="31" xfId="0" applyFont="1" applyBorder="1" applyAlignment="1">
      <alignment horizontal="center" vertical="top" wrapText="1"/>
    </xf>
    <xf numFmtId="0" fontId="2" fillId="0" borderId="48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41" fontId="4" fillId="0" borderId="32" xfId="0" applyNumberFormat="1" applyFont="1" applyBorder="1" applyAlignment="1">
      <alignment horizontal="center" vertical="top" wrapText="1"/>
    </xf>
    <xf numFmtId="41" fontId="4" fillId="0" borderId="24" xfId="0" applyNumberFormat="1" applyFont="1" applyBorder="1" applyAlignment="1">
      <alignment horizontal="center" vertical="top" wrapText="1"/>
    </xf>
    <xf numFmtId="41" fontId="4" fillId="0" borderId="25" xfId="0" applyNumberFormat="1" applyFont="1" applyBorder="1" applyAlignment="1">
      <alignment horizontal="center" vertical="top" wrapText="1"/>
    </xf>
    <xf numFmtId="41" fontId="3" fillId="0" borderId="25" xfId="0" applyNumberFormat="1" applyFont="1" applyBorder="1" applyAlignment="1">
      <alignment vertical="top" wrapText="1"/>
    </xf>
    <xf numFmtId="41" fontId="3" fillId="0" borderId="11" xfId="0" applyNumberFormat="1" applyFont="1" applyBorder="1" applyAlignment="1">
      <alignment vertical="top" wrapText="1"/>
    </xf>
    <xf numFmtId="41" fontId="3" fillId="0" borderId="4" xfId="0" applyNumberFormat="1" applyFont="1" applyBorder="1" applyAlignment="1">
      <alignment vertical="top" wrapText="1"/>
    </xf>
    <xf numFmtId="41" fontId="3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5" xfId="0" applyFont="1" applyBorder="1" applyAlignment="1">
      <alignment vertical="top" wrapText="1"/>
    </xf>
    <xf numFmtId="41" fontId="3" fillId="0" borderId="20" xfId="0" applyNumberFormat="1" applyFont="1" applyBorder="1" applyAlignment="1">
      <alignment horizontal="left" vertical="top" wrapText="1"/>
    </xf>
    <xf numFmtId="0" fontId="3" fillId="0" borderId="6" xfId="0" applyFont="1" applyBorder="1" applyAlignment="1">
      <alignment vertical="top" wrapText="1"/>
    </xf>
    <xf numFmtId="166" fontId="3" fillId="0" borderId="1" xfId="0" applyNumberFormat="1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41" fontId="3" fillId="0" borderId="6" xfId="0" applyNumberFormat="1" applyFont="1" applyBorder="1" applyAlignment="1">
      <alignment vertical="top" wrapText="1"/>
    </xf>
    <xf numFmtId="2" fontId="4" fillId="0" borderId="2" xfId="0" applyNumberFormat="1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164" fontId="3" fillId="0" borderId="1" xfId="0" applyNumberFormat="1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41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10" fontId="3" fillId="0" borderId="14" xfId="0" applyNumberFormat="1" applyFont="1" applyBorder="1" applyAlignment="1">
      <alignment horizontal="right" vertical="top" wrapText="1"/>
    </xf>
    <xf numFmtId="43" fontId="3" fillId="0" borderId="0" xfId="0" applyNumberFormat="1" applyFont="1" applyAlignment="1">
      <alignment vertical="top" wrapText="1"/>
    </xf>
    <xf numFmtId="41" fontId="3" fillId="0" borderId="20" xfId="0" applyNumberFormat="1" applyFont="1" applyBorder="1" applyAlignment="1">
      <alignment horizontal="right" vertical="top" wrapText="1"/>
    </xf>
    <xf numFmtId="0" fontId="3" fillId="0" borderId="14" xfId="0" applyFont="1" applyBorder="1" applyAlignment="1">
      <alignment horizontal="right" vertical="top" wrapText="1"/>
    </xf>
    <xf numFmtId="170" fontId="3" fillId="0" borderId="1" xfId="0" applyNumberFormat="1" applyFont="1" applyBorder="1" applyAlignment="1">
      <alignment vertical="top" wrapText="1"/>
    </xf>
    <xf numFmtId="3" fontId="3" fillId="0" borderId="20" xfId="0" applyNumberFormat="1" applyFont="1" applyBorder="1" applyAlignment="1">
      <alignment horizontal="right" vertical="top" wrapText="1"/>
    </xf>
    <xf numFmtId="3" fontId="3" fillId="0" borderId="14" xfId="0" applyNumberFormat="1" applyFont="1" applyBorder="1" applyAlignment="1">
      <alignment horizontal="right" vertical="top" wrapText="1"/>
    </xf>
    <xf numFmtId="0" fontId="3" fillId="0" borderId="4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41" fontId="4" fillId="0" borderId="9" xfId="0" applyNumberFormat="1" applyFont="1" applyBorder="1" applyAlignment="1">
      <alignment horizontal="center" vertical="top" wrapText="1"/>
    </xf>
    <xf numFmtId="41" fontId="4" fillId="0" borderId="1" xfId="0" applyNumberFormat="1" applyFont="1" applyBorder="1" applyAlignment="1">
      <alignment horizontal="center" vertical="top" wrapText="1"/>
    </xf>
    <xf numFmtId="41" fontId="4" fillId="0" borderId="12" xfId="0" applyNumberFormat="1" applyFont="1" applyBorder="1" applyAlignment="1">
      <alignment horizontal="center" vertical="top" wrapText="1"/>
    </xf>
    <xf numFmtId="41" fontId="3" fillId="0" borderId="9" xfId="0" applyNumberFormat="1" applyFont="1" applyBorder="1" applyAlignment="1">
      <alignment horizontal="center" vertical="top" wrapText="1"/>
    </xf>
    <xf numFmtId="41" fontId="3" fillId="0" borderId="1" xfId="0" applyNumberFormat="1" applyFont="1" applyBorder="1" applyAlignment="1">
      <alignment horizontal="left" vertical="top" wrapText="1"/>
    </xf>
    <xf numFmtId="41" fontId="3" fillId="0" borderId="1" xfId="0" applyNumberFormat="1" applyFont="1" applyBorder="1" applyAlignment="1">
      <alignment vertical="top" wrapText="1"/>
    </xf>
    <xf numFmtId="3" fontId="3" fillId="2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3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3" fontId="4" fillId="0" borderId="12" xfId="0" applyNumberFormat="1" applyFont="1" applyBorder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0" borderId="5" xfId="0" applyNumberFormat="1" applyFont="1" applyBorder="1" applyAlignment="1">
      <alignment horizontal="center" vertical="top" wrapText="1"/>
    </xf>
    <xf numFmtId="41" fontId="2" fillId="0" borderId="20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left" vertical="top" wrapText="1"/>
    </xf>
    <xf numFmtId="41" fontId="3" fillId="0" borderId="1" xfId="0" applyNumberFormat="1" applyFont="1" applyBorder="1" applyAlignment="1">
      <alignment horizontal="center" vertical="top" wrapText="1"/>
    </xf>
    <xf numFmtId="41" fontId="3" fillId="0" borderId="2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vertical="top" wrapText="1"/>
    </xf>
    <xf numFmtId="41" fontId="3" fillId="0" borderId="11" xfId="0" applyNumberFormat="1" applyFont="1" applyBorder="1" applyAlignment="1">
      <alignment vertical="top" wrapText="1"/>
    </xf>
    <xf numFmtId="41" fontId="4" fillId="0" borderId="0" xfId="0" applyNumberFormat="1" applyFont="1" applyAlignment="1">
      <alignment vertical="top" wrapText="1"/>
    </xf>
    <xf numFmtId="9" fontId="4" fillId="0" borderId="12" xfId="0" applyNumberFormat="1" applyFont="1" applyBorder="1" applyAlignment="1">
      <alignment horizontal="center" vertical="top" wrapText="1"/>
    </xf>
    <xf numFmtId="9" fontId="3" fillId="0" borderId="0" xfId="0" applyNumberFormat="1" applyFont="1" applyAlignment="1">
      <alignment horizontal="center" vertical="top" wrapText="1"/>
    </xf>
    <xf numFmtId="9" fontId="3" fillId="0" borderId="5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 wrapText="1"/>
    </xf>
    <xf numFmtId="3" fontId="4" fillId="0" borderId="12" xfId="0" applyNumberFormat="1" applyFont="1" applyBorder="1" applyAlignment="1">
      <alignment vertical="top" wrapText="1"/>
    </xf>
    <xf numFmtId="3" fontId="3" fillId="0" borderId="0" xfId="0" applyNumberFormat="1" applyFont="1" applyAlignment="1">
      <alignment vertical="top" wrapText="1"/>
    </xf>
    <xf numFmtId="3" fontId="3" fillId="0" borderId="5" xfId="0" applyNumberFormat="1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41" fontId="3" fillId="0" borderId="0" xfId="0" applyNumberFormat="1" applyFont="1" applyAlignment="1">
      <alignment vertical="top" wrapText="1"/>
    </xf>
    <xf numFmtId="41" fontId="3" fillId="0" borderId="13" xfId="0" applyNumberFormat="1" applyFont="1" applyBorder="1" applyAlignment="1">
      <alignment vertical="top" wrapText="1"/>
    </xf>
    <xf numFmtId="3" fontId="4" fillId="0" borderId="0" xfId="0" applyNumberFormat="1" applyFont="1" applyAlignment="1">
      <alignment vertical="top" wrapText="1"/>
    </xf>
    <xf numFmtId="3" fontId="4" fillId="0" borderId="5" xfId="0" applyNumberFormat="1" applyFont="1" applyBorder="1" applyAlignment="1">
      <alignment vertical="top" wrapText="1"/>
    </xf>
    <xf numFmtId="167" fontId="4" fillId="0" borderId="0" xfId="0" applyNumberFormat="1" applyFont="1" applyAlignment="1">
      <alignment vertical="top" wrapText="1"/>
    </xf>
    <xf numFmtId="10" fontId="3" fillId="0" borderId="0" xfId="0" applyNumberFormat="1" applyFont="1" applyAlignment="1">
      <alignment vertical="top" wrapText="1"/>
    </xf>
    <xf numFmtId="168" fontId="4" fillId="0" borderId="0" xfId="0" applyNumberFormat="1" applyFont="1" applyAlignment="1">
      <alignment vertical="top" wrapText="1"/>
    </xf>
    <xf numFmtId="41" fontId="3" fillId="2" borderId="1" xfId="0" applyNumberFormat="1" applyFont="1" applyFill="1" applyBorder="1" applyAlignment="1">
      <alignment vertical="top" wrapText="1"/>
    </xf>
    <xf numFmtId="41" fontId="3" fillId="0" borderId="2" xfId="0" applyNumberFormat="1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9" fontId="3" fillId="0" borderId="1" xfId="0" applyNumberFormat="1" applyFont="1" applyBorder="1" applyAlignment="1">
      <alignment horizontal="right" vertical="top" wrapText="1"/>
    </xf>
    <xf numFmtId="9" fontId="3" fillId="0" borderId="2" xfId="0" applyNumberFormat="1" applyFont="1" applyBorder="1" applyAlignment="1">
      <alignment horizontal="right" vertical="top" wrapText="1"/>
    </xf>
    <xf numFmtId="9" fontId="3" fillId="0" borderId="1" xfId="0" applyNumberFormat="1" applyFont="1" applyBorder="1" applyAlignment="1">
      <alignment vertical="top" wrapText="1"/>
    </xf>
    <xf numFmtId="10" fontId="4" fillId="0" borderId="0" xfId="0" applyNumberFormat="1" applyFont="1" applyAlignment="1">
      <alignment vertical="top" wrapText="1"/>
    </xf>
    <xf numFmtId="3" fontId="3" fillId="0" borderId="1" xfId="0" applyNumberFormat="1" applyFont="1" applyBorder="1" applyAlignment="1">
      <alignment vertical="top" wrapText="1"/>
    </xf>
    <xf numFmtId="41" fontId="3" fillId="0" borderId="20" xfId="0" applyNumberFormat="1" applyFont="1" applyBorder="1" applyAlignment="1">
      <alignment vertical="top" wrapText="1"/>
    </xf>
    <xf numFmtId="9" fontId="3" fillId="0" borderId="0" xfId="0" applyNumberFormat="1" applyFont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41" fontId="4" fillId="0" borderId="12" xfId="0" applyNumberFormat="1" applyFont="1" applyBorder="1" applyAlignment="1">
      <alignment vertical="top" wrapText="1"/>
    </xf>
    <xf numFmtId="41" fontId="4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10" fontId="3" fillId="0" borderId="1" xfId="0" applyNumberFormat="1" applyFont="1" applyBorder="1" applyAlignment="1">
      <alignment vertical="top" wrapText="1"/>
    </xf>
    <xf numFmtId="41" fontId="4" fillId="0" borderId="12" xfId="0" applyNumberFormat="1" applyFont="1" applyBorder="1" applyAlignment="1">
      <alignment horizontal="left" vertical="top" wrapText="1"/>
    </xf>
    <xf numFmtId="41" fontId="4" fillId="0" borderId="1" xfId="0" applyNumberFormat="1" applyFont="1" applyBorder="1" applyAlignment="1">
      <alignment vertical="top" wrapText="1"/>
    </xf>
    <xf numFmtId="41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41" fontId="4" fillId="0" borderId="2" xfId="0" applyNumberFormat="1" applyFont="1" applyBorder="1" applyAlignment="1">
      <alignment vertical="top" wrapText="1"/>
    </xf>
    <xf numFmtId="41" fontId="4" fillId="0" borderId="4" xfId="0" applyNumberFormat="1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41" fontId="4" fillId="0" borderId="0" xfId="0" applyNumberFormat="1" applyFont="1" applyAlignment="1">
      <alignment horizontal="right" vertical="top" wrapText="1"/>
    </xf>
    <xf numFmtId="41" fontId="4" fillId="0" borderId="15" xfId="0" applyNumberFormat="1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41" fontId="3" fillId="0" borderId="16" xfId="0" applyNumberFormat="1" applyFont="1" applyBorder="1" applyAlignment="1">
      <alignment vertical="top" wrapText="1"/>
    </xf>
    <xf numFmtId="41" fontId="4" fillId="0" borderId="16" xfId="0" applyNumberFormat="1" applyFont="1" applyBorder="1" applyAlignment="1">
      <alignment vertical="top" wrapText="1"/>
    </xf>
    <xf numFmtId="10" fontId="3" fillId="0" borderId="16" xfId="0" applyNumberFormat="1" applyFont="1" applyBorder="1" applyAlignment="1">
      <alignment vertical="top" wrapText="1"/>
    </xf>
    <xf numFmtId="10" fontId="3" fillId="0" borderId="17" xfId="0" applyNumberFormat="1" applyFont="1" applyBorder="1" applyAlignment="1">
      <alignment vertical="top" wrapText="1"/>
    </xf>
    <xf numFmtId="41" fontId="4" fillId="0" borderId="18" xfId="0" applyNumberFormat="1" applyFont="1" applyBorder="1" applyAlignment="1">
      <alignment vertical="top" wrapText="1"/>
    </xf>
    <xf numFmtId="0" fontId="3" fillId="0" borderId="50" xfId="0" applyFont="1" applyBorder="1" applyAlignment="1">
      <alignment horizontal="center" vertical="top" wrapText="1"/>
    </xf>
    <xf numFmtId="41" fontId="4" fillId="0" borderId="53" xfId="0" applyNumberFormat="1" applyFont="1" applyBorder="1" applyAlignment="1">
      <alignment horizontal="center" vertical="top" wrapText="1"/>
    </xf>
    <xf numFmtId="41" fontId="4" fillId="0" borderId="10" xfId="0" applyNumberFormat="1" applyFont="1" applyBorder="1" applyAlignment="1">
      <alignment horizontal="center" vertical="top" wrapText="1"/>
    </xf>
    <xf numFmtId="41" fontId="3" fillId="0" borderId="20" xfId="0" applyNumberFormat="1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41" fontId="4" fillId="0" borderId="13" xfId="0" applyNumberFormat="1" applyFont="1" applyBorder="1" applyAlignment="1">
      <alignment horizontal="center" vertical="top" wrapText="1"/>
    </xf>
    <xf numFmtId="0" fontId="3" fillId="0" borderId="51" xfId="0" applyFont="1" applyBorder="1" applyAlignment="1">
      <alignment horizontal="center" vertical="top" wrapText="1"/>
    </xf>
    <xf numFmtId="0" fontId="3" fillId="0" borderId="52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41" fontId="3" fillId="0" borderId="8" xfId="0" applyNumberFormat="1" applyFont="1" applyBorder="1" applyAlignment="1">
      <alignment vertical="top" wrapText="1"/>
    </xf>
    <xf numFmtId="41" fontId="3" fillId="0" borderId="22" xfId="0" applyNumberFormat="1" applyFont="1" applyBorder="1" applyAlignment="1">
      <alignment horizontal="center" vertical="top" wrapText="1"/>
    </xf>
    <xf numFmtId="41" fontId="3" fillId="0" borderId="22" xfId="0" applyNumberFormat="1" applyFont="1" applyBorder="1" applyAlignment="1">
      <alignment horizontal="right" vertical="top" wrapText="1"/>
    </xf>
    <xf numFmtId="41" fontId="3" fillId="0" borderId="21" xfId="0" applyNumberFormat="1" applyFont="1" applyBorder="1" applyAlignment="1">
      <alignment horizontal="right" vertical="top" wrapText="1"/>
    </xf>
    <xf numFmtId="41" fontId="3" fillId="0" borderId="23" xfId="0" applyNumberFormat="1" applyFont="1" applyBorder="1" applyAlignment="1">
      <alignment vertical="top" wrapText="1"/>
    </xf>
    <xf numFmtId="41" fontId="4" fillId="0" borderId="20" xfId="0" applyNumberFormat="1" applyFont="1" applyBorder="1" applyAlignment="1">
      <alignment horizontal="center" vertical="top" wrapText="1"/>
    </xf>
    <xf numFmtId="41" fontId="4" fillId="0" borderId="7" xfId="0" applyNumberFormat="1" applyFont="1" applyBorder="1" applyAlignment="1">
      <alignment horizontal="center" vertical="top" wrapText="1"/>
    </xf>
    <xf numFmtId="41" fontId="4" fillId="0" borderId="2" xfId="0" applyNumberFormat="1" applyFont="1" applyBorder="1" applyAlignment="1">
      <alignment horizontal="center" vertical="top" wrapText="1"/>
    </xf>
    <xf numFmtId="41" fontId="4" fillId="0" borderId="24" xfId="0" applyNumberFormat="1" applyFont="1" applyBorder="1" applyAlignment="1">
      <alignment vertical="top" wrapText="1"/>
    </xf>
    <xf numFmtId="41" fontId="4" fillId="0" borderId="25" xfId="0" applyNumberFormat="1" applyFont="1" applyBorder="1" applyAlignment="1">
      <alignment vertical="top" wrapText="1"/>
    </xf>
    <xf numFmtId="41" fontId="4" fillId="0" borderId="11" xfId="0" applyNumberFormat="1" applyFont="1" applyBorder="1" applyAlignment="1">
      <alignment vertical="top" wrapText="1"/>
    </xf>
    <xf numFmtId="41" fontId="4" fillId="0" borderId="0" xfId="0" applyNumberFormat="1" applyFont="1" applyAlignment="1">
      <alignment horizontal="center" vertical="top" wrapText="1"/>
    </xf>
    <xf numFmtId="41" fontId="4" fillId="0" borderId="3" xfId="0" applyNumberFormat="1" applyFont="1" applyBorder="1" applyAlignment="1">
      <alignment horizontal="center" vertical="top" wrapText="1"/>
    </xf>
    <xf numFmtId="41" fontId="4" fillId="0" borderId="7" xfId="0" applyNumberFormat="1" applyFont="1" applyBorder="1" applyAlignment="1">
      <alignment horizontal="center" vertical="top" wrapText="1"/>
    </xf>
    <xf numFmtId="41" fontId="4" fillId="0" borderId="20" xfId="0" applyNumberFormat="1" applyFont="1" applyBorder="1" applyAlignment="1">
      <alignment vertical="top" wrapText="1"/>
    </xf>
    <xf numFmtId="41" fontId="4" fillId="0" borderId="7" xfId="0" applyNumberFormat="1" applyFont="1" applyBorder="1" applyAlignment="1">
      <alignment vertical="top" wrapText="1"/>
    </xf>
    <xf numFmtId="41" fontId="3" fillId="0" borderId="4" xfId="0" applyNumberFormat="1" applyFont="1" applyBorder="1" applyAlignment="1">
      <alignment vertical="top" wrapText="1"/>
    </xf>
    <xf numFmtId="41" fontId="3" fillId="0" borderId="3" xfId="0" applyNumberFormat="1" applyFont="1" applyBorder="1" applyAlignment="1">
      <alignment vertical="top" wrapText="1"/>
    </xf>
    <xf numFmtId="41" fontId="3" fillId="0" borderId="15" xfId="0" applyNumberFormat="1" applyFont="1" applyBorder="1" applyAlignment="1">
      <alignment vertical="top" wrapText="1"/>
    </xf>
    <xf numFmtId="41" fontId="3" fillId="0" borderId="17" xfId="0" applyNumberFormat="1" applyFont="1" applyBorder="1" applyAlignment="1">
      <alignment vertical="top" wrapText="1"/>
    </xf>
    <xf numFmtId="41" fontId="3" fillId="0" borderId="9" xfId="0" applyNumberFormat="1" applyFont="1" applyBorder="1" applyAlignment="1">
      <alignment vertical="top" wrapText="1"/>
    </xf>
    <xf numFmtId="41" fontId="4" fillId="0" borderId="7" xfId="0" applyNumberFormat="1" applyFont="1" applyBorder="1" applyAlignment="1">
      <alignment vertical="top" wrapText="1"/>
    </xf>
    <xf numFmtId="2" fontId="3" fillId="0" borderId="1" xfId="0" applyNumberFormat="1" applyFont="1" applyBorder="1" applyAlignment="1">
      <alignment vertical="top" wrapText="1"/>
    </xf>
    <xf numFmtId="165" fontId="3" fillId="0" borderId="2" xfId="0" applyNumberFormat="1" applyFont="1" applyBorder="1" applyAlignment="1">
      <alignment vertical="top" wrapText="1"/>
    </xf>
    <xf numFmtId="41" fontId="3" fillId="0" borderId="7" xfId="0" applyNumberFormat="1" applyFont="1" applyBorder="1" applyAlignment="1">
      <alignment vertical="top" wrapText="1"/>
    </xf>
    <xf numFmtId="41" fontId="3" fillId="0" borderId="7" xfId="0" applyNumberFormat="1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41" fontId="3" fillId="0" borderId="5" xfId="0" applyNumberFormat="1" applyFont="1" applyBorder="1" applyAlignment="1">
      <alignment vertical="top" wrapText="1"/>
    </xf>
    <xf numFmtId="10" fontId="3" fillId="0" borderId="20" xfId="0" applyNumberFormat="1" applyFont="1" applyBorder="1" applyAlignment="1">
      <alignment vertical="top" wrapText="1"/>
    </xf>
    <xf numFmtId="10" fontId="3" fillId="0" borderId="7" xfId="0" applyNumberFormat="1" applyFont="1" applyBorder="1" applyAlignment="1">
      <alignment vertical="top" wrapText="1"/>
    </xf>
    <xf numFmtId="41" fontId="3" fillId="0" borderId="6" xfId="0" applyNumberFormat="1" applyFont="1" applyBorder="1" applyAlignment="1">
      <alignment vertical="top" wrapText="1"/>
    </xf>
    <xf numFmtId="41" fontId="4" fillId="0" borderId="9" xfId="0" applyNumberFormat="1" applyFont="1" applyBorder="1" applyAlignment="1">
      <alignment vertical="top" wrapText="1"/>
    </xf>
    <xf numFmtId="41" fontId="4" fillId="0" borderId="6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3" fillId="0" borderId="32" xfId="0" applyFont="1" applyBorder="1" applyAlignment="1">
      <alignment horizontal="center" vertical="top" wrapText="1"/>
    </xf>
    <xf numFmtId="41" fontId="3" fillId="0" borderId="4" xfId="0" applyNumberFormat="1" applyFont="1" applyBorder="1" applyAlignment="1">
      <alignment horizontal="center" vertical="top" wrapText="1"/>
    </xf>
    <xf numFmtId="41" fontId="3" fillId="0" borderId="0" xfId="0" applyNumberFormat="1" applyFont="1" applyAlignment="1">
      <alignment horizontal="center" vertical="top" wrapText="1"/>
    </xf>
    <xf numFmtId="41" fontId="3" fillId="0" borderId="20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41" fontId="3" fillId="0" borderId="3" xfId="0" applyNumberFormat="1" applyFont="1" applyBorder="1" applyAlignment="1">
      <alignment horizontal="center" vertical="top" wrapText="1"/>
    </xf>
    <xf numFmtId="41" fontId="3" fillId="0" borderId="20" xfId="0" applyNumberFormat="1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41" fontId="4" fillId="0" borderId="20" xfId="0" applyNumberFormat="1" applyFont="1" applyBorder="1" applyAlignment="1">
      <alignment vertical="top" wrapText="1"/>
    </xf>
    <xf numFmtId="41" fontId="4" fillId="0" borderId="26" xfId="0" applyNumberFormat="1" applyFont="1" applyBorder="1" applyAlignment="1">
      <alignment vertical="top" wrapText="1"/>
    </xf>
    <xf numFmtId="41" fontId="3" fillId="0" borderId="8" xfId="0" applyNumberFormat="1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41" fontId="3" fillId="0" borderId="8" xfId="0" applyNumberFormat="1" applyFont="1" applyBorder="1" applyAlignment="1">
      <alignment vertical="top" wrapText="1"/>
    </xf>
    <xf numFmtId="41" fontId="3" fillId="0" borderId="22" xfId="0" applyNumberFormat="1" applyFont="1" applyBorder="1" applyAlignment="1">
      <alignment vertical="top" wrapText="1"/>
    </xf>
    <xf numFmtId="41" fontId="4" fillId="0" borderId="8" xfId="0" applyNumberFormat="1" applyFont="1" applyBorder="1" applyAlignment="1">
      <alignment vertical="top" wrapText="1"/>
    </xf>
    <xf numFmtId="165" fontId="3" fillId="0" borderId="14" xfId="0" applyNumberFormat="1" applyFont="1" applyBorder="1" applyAlignment="1">
      <alignment vertical="top"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165" fontId="3" fillId="0" borderId="1" xfId="0" applyNumberFormat="1" applyFont="1" applyBorder="1" applyAlignment="1">
      <alignment vertical="top" wrapText="1"/>
    </xf>
    <xf numFmtId="41" fontId="4" fillId="0" borderId="27" xfId="0" applyNumberFormat="1" applyFont="1" applyBorder="1" applyAlignment="1">
      <alignment vertical="top" wrapText="1"/>
    </xf>
    <xf numFmtId="2" fontId="4" fillId="0" borderId="1" xfId="0" applyNumberFormat="1" applyFont="1" applyBorder="1" applyAlignment="1">
      <alignment vertical="top" wrapText="1"/>
    </xf>
    <xf numFmtId="43" fontId="3" fillId="0" borderId="1" xfId="0" applyNumberFormat="1" applyFont="1" applyBorder="1" applyAlignment="1">
      <alignment vertical="top" wrapText="1"/>
    </xf>
    <xf numFmtId="41" fontId="4" fillId="0" borderId="20" xfId="0" applyNumberFormat="1" applyFont="1" applyBorder="1" applyAlignment="1">
      <alignment horizontal="center" vertical="top" wrapText="1"/>
    </xf>
    <xf numFmtId="41" fontId="4" fillId="0" borderId="6" xfId="0" applyNumberFormat="1" applyFont="1" applyBorder="1" applyAlignment="1">
      <alignment horizontal="center" vertical="top" wrapText="1"/>
    </xf>
    <xf numFmtId="41" fontId="4" fillId="0" borderId="3" xfId="0" applyNumberFormat="1" applyFont="1" applyBorder="1" applyAlignment="1">
      <alignment vertical="top" wrapText="1"/>
    </xf>
    <xf numFmtId="41" fontId="3" fillId="0" borderId="28" xfId="0" applyNumberFormat="1" applyFont="1" applyBorder="1" applyAlignment="1">
      <alignment vertical="top" wrapText="1"/>
    </xf>
    <xf numFmtId="41" fontId="3" fillId="0" borderId="29" xfId="0" applyNumberFormat="1" applyFont="1" applyBorder="1" applyAlignment="1">
      <alignment vertical="top" wrapText="1"/>
    </xf>
    <xf numFmtId="0" fontId="3" fillId="0" borderId="29" xfId="0" applyFont="1" applyBorder="1" applyAlignment="1">
      <alignment vertical="top" wrapText="1"/>
    </xf>
    <xf numFmtId="0" fontId="3" fillId="0" borderId="30" xfId="0" applyFont="1" applyBorder="1" applyAlignment="1">
      <alignment vertical="top" wrapText="1"/>
    </xf>
    <xf numFmtId="41" fontId="4" fillId="0" borderId="31" xfId="0" applyNumberFormat="1" applyFont="1" applyBorder="1" applyAlignment="1">
      <alignment vertical="top" wrapText="1"/>
    </xf>
    <xf numFmtId="41" fontId="4" fillId="0" borderId="32" xfId="0" applyNumberFormat="1" applyFont="1" applyBorder="1" applyAlignment="1">
      <alignment vertical="top" wrapText="1"/>
    </xf>
    <xf numFmtId="41" fontId="4" fillId="0" borderId="22" xfId="0" applyNumberFormat="1" applyFont="1" applyBorder="1" applyAlignment="1">
      <alignment vertical="top" wrapText="1"/>
    </xf>
    <xf numFmtId="41" fontId="3" fillId="0" borderId="32" xfId="0" applyNumberFormat="1" applyFont="1" applyBorder="1" applyAlignment="1">
      <alignment vertical="top" wrapText="1"/>
    </xf>
    <xf numFmtId="41" fontId="4" fillId="0" borderId="6" xfId="0" applyNumberFormat="1" applyFont="1" applyBorder="1" applyAlignment="1">
      <alignment vertical="top" wrapText="1"/>
    </xf>
    <xf numFmtId="169" fontId="3" fillId="0" borderId="2" xfId="0" applyNumberFormat="1" applyFont="1" applyBorder="1" applyAlignment="1">
      <alignment vertical="top" wrapText="1"/>
    </xf>
    <xf numFmtId="41" fontId="3" fillId="0" borderId="27" xfId="0" applyNumberFormat="1" applyFont="1" applyBorder="1" applyAlignment="1">
      <alignment vertical="top" wrapText="1"/>
    </xf>
    <xf numFmtId="0" fontId="3" fillId="0" borderId="32" xfId="0" applyFont="1" applyBorder="1" applyAlignment="1">
      <alignment vertical="top" wrapText="1"/>
    </xf>
    <xf numFmtId="41" fontId="3" fillId="0" borderId="0" xfId="0" applyNumberFormat="1" applyFont="1" applyAlignment="1">
      <alignment horizontal="left" vertical="top" wrapText="1"/>
    </xf>
    <xf numFmtId="41" fontId="4" fillId="0" borderId="16" xfId="0" applyNumberFormat="1" applyFont="1" applyBorder="1" applyAlignment="1">
      <alignment horizontal="left" vertical="top" wrapText="1"/>
    </xf>
    <xf numFmtId="41" fontId="4" fillId="0" borderId="46" xfId="0" applyNumberFormat="1" applyFont="1" applyBorder="1" applyAlignment="1">
      <alignment horizontal="left" vertical="top" wrapText="1"/>
    </xf>
    <xf numFmtId="0" fontId="3" fillId="0" borderId="29" xfId="0" applyFont="1" applyBorder="1" applyAlignment="1">
      <alignment vertical="top" wrapText="1"/>
    </xf>
    <xf numFmtId="0" fontId="3" fillId="0" borderId="41" xfId="0" applyFont="1" applyBorder="1" applyAlignment="1">
      <alignment vertical="top" wrapText="1"/>
    </xf>
    <xf numFmtId="41" fontId="4" fillId="0" borderId="46" xfId="0" applyNumberFormat="1" applyFont="1" applyBorder="1" applyAlignment="1">
      <alignment vertical="top" wrapText="1"/>
    </xf>
    <xf numFmtId="41" fontId="4" fillId="0" borderId="17" xfId="0" applyNumberFormat="1" applyFont="1" applyBorder="1" applyAlignment="1">
      <alignment vertical="top" wrapText="1"/>
    </xf>
    <xf numFmtId="41" fontId="4" fillId="0" borderId="33" xfId="0" applyNumberFormat="1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41" fontId="4" fillId="0" borderId="21" xfId="0" applyNumberFormat="1" applyFont="1" applyBorder="1" applyAlignment="1">
      <alignment vertical="top" wrapText="1"/>
    </xf>
    <xf numFmtId="41" fontId="4" fillId="0" borderId="34" xfId="0" applyNumberFormat="1" applyFont="1" applyBorder="1" applyAlignment="1">
      <alignment vertical="top" wrapText="1"/>
    </xf>
    <xf numFmtId="41" fontId="4" fillId="0" borderId="35" xfId="0" applyNumberFormat="1" applyFont="1" applyBorder="1" applyAlignment="1">
      <alignment vertical="top" wrapText="1"/>
    </xf>
    <xf numFmtId="41" fontId="3" fillId="0" borderId="36" xfId="0" applyNumberFormat="1" applyFont="1" applyBorder="1" applyAlignment="1">
      <alignment vertical="top" wrapText="1"/>
    </xf>
    <xf numFmtId="41" fontId="4" fillId="0" borderId="8" xfId="0" applyNumberFormat="1" applyFont="1" applyBorder="1" applyAlignment="1">
      <alignment horizontal="center" vertical="top" wrapText="1"/>
    </xf>
    <xf numFmtId="41" fontId="4" fillId="0" borderId="6" xfId="0" applyNumberFormat="1" applyFont="1" applyBorder="1" applyAlignment="1">
      <alignment horizontal="center" vertical="top" wrapText="1"/>
    </xf>
    <xf numFmtId="41" fontId="4" fillId="0" borderId="8" xfId="0" applyNumberFormat="1" applyFont="1" applyBorder="1" applyAlignment="1">
      <alignment horizontal="right" vertical="top" wrapText="1"/>
    </xf>
    <xf numFmtId="0" fontId="3" fillId="0" borderId="6" xfId="0" applyFont="1" applyBorder="1" applyAlignment="1">
      <alignment horizontal="right" vertical="top" wrapText="1"/>
    </xf>
    <xf numFmtId="0" fontId="3" fillId="0" borderId="25" xfId="0" applyFont="1" applyBorder="1" applyAlignment="1">
      <alignment horizontal="right" vertical="top" wrapText="1"/>
    </xf>
    <xf numFmtId="0" fontId="3" fillId="0" borderId="20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right" vertical="top" wrapText="1"/>
    </xf>
    <xf numFmtId="0" fontId="3" fillId="0" borderId="14" xfId="0" applyFont="1" applyBorder="1" applyAlignment="1">
      <alignment vertical="top" wrapText="1"/>
    </xf>
    <xf numFmtId="41" fontId="3" fillId="0" borderId="37" xfId="0" applyNumberFormat="1" applyFont="1" applyBorder="1" applyAlignment="1">
      <alignment vertical="top" wrapText="1"/>
    </xf>
    <xf numFmtId="41" fontId="3" fillId="0" borderId="38" xfId="0" applyNumberFormat="1" applyFont="1" applyBorder="1" applyAlignment="1">
      <alignment vertical="top" wrapText="1"/>
    </xf>
    <xf numFmtId="41" fontId="3" fillId="0" borderId="24" xfId="0" applyNumberFormat="1" applyFont="1" applyBorder="1" applyAlignment="1">
      <alignment vertical="top" wrapText="1"/>
    </xf>
    <xf numFmtId="41" fontId="3" fillId="0" borderId="25" xfId="0" applyNumberFormat="1" applyFont="1" applyBorder="1" applyAlignment="1">
      <alignment vertical="top" wrapText="1"/>
    </xf>
    <xf numFmtId="0" fontId="3" fillId="0" borderId="25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41" fontId="4" fillId="0" borderId="20" xfId="0" applyNumberFormat="1" applyFont="1" applyBorder="1" applyAlignment="1">
      <alignment horizontal="right" vertical="top" wrapText="1"/>
    </xf>
    <xf numFmtId="0" fontId="3" fillId="0" borderId="17" xfId="0" applyFont="1" applyBorder="1" applyAlignment="1">
      <alignment vertical="top" wrapText="1"/>
    </xf>
    <xf numFmtId="41" fontId="4" fillId="0" borderId="28" xfId="0" applyNumberFormat="1" applyFont="1" applyBorder="1" applyAlignment="1">
      <alignment horizontal="center" vertical="top" wrapText="1"/>
    </xf>
    <xf numFmtId="41" fontId="3" fillId="0" borderId="39" xfId="0" applyNumberFormat="1" applyFont="1" applyBorder="1" applyAlignment="1">
      <alignment vertical="top" wrapText="1"/>
    </xf>
    <xf numFmtId="41" fontId="3" fillId="0" borderId="46" xfId="0" applyNumberFormat="1" applyFont="1" applyBorder="1" applyAlignment="1">
      <alignment horizontal="center" vertical="top" wrapText="1"/>
    </xf>
    <xf numFmtId="41" fontId="4" fillId="0" borderId="46" xfId="0" applyNumberFormat="1" applyFont="1" applyBorder="1" applyAlignment="1">
      <alignment horizontal="center" vertical="top" wrapText="1"/>
    </xf>
    <xf numFmtId="0" fontId="3" fillId="0" borderId="41" xfId="0" applyFont="1" applyBorder="1" applyAlignment="1">
      <alignment horizontal="center" vertical="top" wrapText="1"/>
    </xf>
    <xf numFmtId="41" fontId="3" fillId="0" borderId="40" xfId="0" applyNumberFormat="1" applyFont="1" applyBorder="1" applyAlignment="1">
      <alignment vertical="top" wrapText="1"/>
    </xf>
    <xf numFmtId="41" fontId="3" fillId="0" borderId="9" xfId="0" applyNumberFormat="1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41" fontId="3" fillId="0" borderId="2" xfId="0" applyNumberFormat="1" applyFont="1" applyBorder="1" applyAlignment="1">
      <alignment horizontal="left" vertical="top" wrapText="1"/>
    </xf>
    <xf numFmtId="41" fontId="4" fillId="0" borderId="29" xfId="0" applyNumberFormat="1" applyFont="1" applyBorder="1" applyAlignment="1">
      <alignment horizontal="center" vertical="top" wrapText="1"/>
    </xf>
    <xf numFmtId="41" fontId="3" fillId="0" borderId="29" xfId="0" applyNumberFormat="1" applyFont="1" applyBorder="1" applyAlignment="1">
      <alignment horizontal="center" vertical="top" wrapText="1"/>
    </xf>
    <xf numFmtId="41" fontId="3" fillId="0" borderId="41" xfId="0" applyNumberFormat="1" applyFont="1" applyBorder="1" applyAlignment="1">
      <alignment horizontal="center" vertical="top" wrapText="1"/>
    </xf>
    <xf numFmtId="41" fontId="3" fillId="0" borderId="42" xfId="0" applyNumberFormat="1" applyFont="1" applyBorder="1" applyAlignment="1">
      <alignment vertical="top" wrapText="1"/>
    </xf>
    <xf numFmtId="41" fontId="3" fillId="0" borderId="43" xfId="0" applyNumberFormat="1" applyFont="1" applyBorder="1" applyAlignment="1">
      <alignment vertical="top" wrapText="1"/>
    </xf>
    <xf numFmtId="41" fontId="3" fillId="0" borderId="44" xfId="0" applyNumberFormat="1" applyFont="1" applyBorder="1" applyAlignment="1">
      <alignment vertical="top" wrapText="1"/>
    </xf>
    <xf numFmtId="43" fontId="4" fillId="0" borderId="2" xfId="0" applyNumberFormat="1" applyFont="1" applyBorder="1" applyAlignment="1">
      <alignment vertical="top" wrapText="1"/>
    </xf>
    <xf numFmtId="2" fontId="3" fillId="0" borderId="20" xfId="0" applyNumberFormat="1" applyFont="1" applyBorder="1" applyAlignment="1">
      <alignment vertical="top" wrapText="1"/>
    </xf>
    <xf numFmtId="3" fontId="5" fillId="0" borderId="20" xfId="0" applyNumberFormat="1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41" fontId="3" fillId="0" borderId="45" xfId="0" applyNumberFormat="1" applyFont="1" applyBorder="1" applyAlignment="1">
      <alignment vertical="top" wrapText="1"/>
    </xf>
    <xf numFmtId="41" fontId="3" fillId="0" borderId="29" xfId="0" applyNumberFormat="1" applyFont="1" applyBorder="1" applyAlignment="1">
      <alignment vertical="top" wrapText="1"/>
    </xf>
    <xf numFmtId="41" fontId="4" fillId="0" borderId="29" xfId="0" applyNumberFormat="1" applyFont="1" applyBorder="1" applyAlignment="1">
      <alignment vertical="top" wrapText="1"/>
    </xf>
    <xf numFmtId="41" fontId="4" fillId="3" borderId="51" xfId="0" applyNumberFormat="1" applyFont="1" applyFill="1" applyBorder="1" applyAlignment="1">
      <alignment horizontal="center" vertical="top" wrapText="1"/>
    </xf>
    <xf numFmtId="41" fontId="4" fillId="3" borderId="32" xfId="0" applyNumberFormat="1" applyFont="1" applyFill="1" applyBorder="1" applyAlignment="1">
      <alignment horizontal="center" vertical="top" wrapText="1"/>
    </xf>
    <xf numFmtId="41" fontId="3" fillId="3" borderId="32" xfId="0" applyNumberFormat="1" applyFont="1" applyFill="1" applyBorder="1" applyAlignment="1">
      <alignment vertical="top" wrapText="1"/>
    </xf>
    <xf numFmtId="41" fontId="3" fillId="3" borderId="54" xfId="0" applyNumberFormat="1" applyFont="1" applyFill="1" applyBorder="1" applyAlignment="1">
      <alignment vertical="top" wrapText="1"/>
    </xf>
    <xf numFmtId="41" fontId="4" fillId="3" borderId="47" xfId="0" applyNumberFormat="1" applyFont="1" applyFill="1" applyBorder="1" applyAlignment="1">
      <alignment horizontal="center" vertical="top" wrapText="1"/>
    </xf>
    <xf numFmtId="0" fontId="3" fillId="3" borderId="48" xfId="0" applyFont="1" applyFill="1" applyBorder="1" applyAlignment="1">
      <alignment vertical="top" wrapText="1"/>
    </xf>
    <xf numFmtId="0" fontId="3" fillId="3" borderId="19" xfId="0" applyFont="1" applyFill="1" applyBorder="1" applyAlignment="1">
      <alignment vertical="top" wrapText="1"/>
    </xf>
    <xf numFmtId="41" fontId="4" fillId="3" borderId="49" xfId="0" applyNumberFormat="1" applyFont="1" applyFill="1" applyBorder="1" applyAlignment="1">
      <alignment horizontal="center" vertical="top" wrapText="1"/>
    </xf>
    <xf numFmtId="41" fontId="4" fillId="3" borderId="48" xfId="0" applyNumberFormat="1" applyFont="1" applyFill="1" applyBorder="1" applyAlignment="1">
      <alignment horizontal="center" vertical="top" wrapText="1"/>
    </xf>
    <xf numFmtId="41" fontId="4" fillId="3" borderId="20" xfId="0" applyNumberFormat="1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vertical="top" wrapText="1"/>
    </xf>
    <xf numFmtId="0" fontId="3" fillId="3" borderId="14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0-403C-9DDD-09228F18E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72384"/>
        <c:axId val="91465984"/>
      </c:lineChart>
      <c:catAx>
        <c:axId val="51072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46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465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Flow (Kshs)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0723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0-4B4A-A1DD-DF0A36249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02816"/>
        <c:axId val="90821760"/>
      </c:lineChart>
      <c:catAx>
        <c:axId val="90802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Months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821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821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Flow (Kshs)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8028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83-44D8-A1BB-6C9338B28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43040"/>
        <c:axId val="107945344"/>
      </c:lineChart>
      <c:catAx>
        <c:axId val="107943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7945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945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Flow (Kshs)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79430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4C-47D0-8151-EB753E68F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72864"/>
        <c:axId val="107979520"/>
      </c:lineChart>
      <c:catAx>
        <c:axId val="107972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Months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7979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979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Flow (Kshs)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79728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57-4703-B6A2-3095DF915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6304"/>
        <c:axId val="90593152"/>
      </c:lineChart>
      <c:catAx>
        <c:axId val="107986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Months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593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593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Flow (Kshs)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79863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2B-48FC-BA28-F3A1CB0C0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8864"/>
        <c:axId val="90631168"/>
      </c:lineChart>
      <c:catAx>
        <c:axId val="90628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Months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631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631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Flow (Kshs)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6288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D1-4EA9-B119-10FEAF3D1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50496"/>
        <c:axId val="90677632"/>
      </c:lineChart>
      <c:catAx>
        <c:axId val="90650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Months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677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677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Flow (Kshs)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6504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B4-449D-A71C-1E643A85A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92608"/>
        <c:axId val="90707456"/>
      </c:lineChart>
      <c:catAx>
        <c:axId val="90692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Months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707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707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Flow (Kshs)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6926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86-4BEE-9516-96827154A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47264"/>
        <c:axId val="90749568"/>
      </c:lineChart>
      <c:catAx>
        <c:axId val="90747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Months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749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749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Flow (Kshs)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7472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CF-4E57-8249-D1AF45ABA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81184"/>
        <c:axId val="90783744"/>
      </c:lineChart>
      <c:catAx>
        <c:axId val="90781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Months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783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783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Flow (Kshs)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7811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1038225</xdr:colOff>
      <xdr:row>0</xdr:row>
      <xdr:rowOff>0</xdr:rowOff>
    </xdr:from>
    <xdr:to>
      <xdr:col>11</xdr:col>
      <xdr:colOff>733425</xdr:colOff>
      <xdr:row>0</xdr:row>
      <xdr:rowOff>0</xdr:rowOff>
    </xdr:to>
    <xdr:graphicFrame macro="">
      <xdr:nvGraphicFramePr>
        <xdr:cNvPr id="3073" name="Chart 1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1038225</xdr:colOff>
      <xdr:row>0</xdr:row>
      <xdr:rowOff>0</xdr:rowOff>
    </xdr:from>
    <xdr:to>
      <xdr:col>11</xdr:col>
      <xdr:colOff>733425</xdr:colOff>
      <xdr:row>0</xdr:row>
      <xdr:rowOff>0</xdr:rowOff>
    </xdr:to>
    <xdr:graphicFrame macro="">
      <xdr:nvGraphicFramePr>
        <xdr:cNvPr id="3074" name="Chart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1038225</xdr:colOff>
      <xdr:row>427</xdr:row>
      <xdr:rowOff>0</xdr:rowOff>
    </xdr:from>
    <xdr:to>
      <xdr:col>11</xdr:col>
      <xdr:colOff>733425</xdr:colOff>
      <xdr:row>427</xdr:row>
      <xdr:rowOff>0</xdr:rowOff>
    </xdr:to>
    <xdr:graphicFrame macro="">
      <xdr:nvGraphicFramePr>
        <xdr:cNvPr id="3075" name="Chart 3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1038225</xdr:colOff>
      <xdr:row>427</xdr:row>
      <xdr:rowOff>0</xdr:rowOff>
    </xdr:from>
    <xdr:to>
      <xdr:col>11</xdr:col>
      <xdr:colOff>733425</xdr:colOff>
      <xdr:row>427</xdr:row>
      <xdr:rowOff>0</xdr:rowOff>
    </xdr:to>
    <xdr:graphicFrame macro="">
      <xdr:nvGraphicFramePr>
        <xdr:cNvPr id="3076" name="Chart 4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1038225</xdr:colOff>
      <xdr:row>427</xdr:row>
      <xdr:rowOff>0</xdr:rowOff>
    </xdr:from>
    <xdr:to>
      <xdr:col>11</xdr:col>
      <xdr:colOff>733425</xdr:colOff>
      <xdr:row>427</xdr:row>
      <xdr:rowOff>0</xdr:rowOff>
    </xdr:to>
    <xdr:graphicFrame macro="">
      <xdr:nvGraphicFramePr>
        <xdr:cNvPr id="3077" name="Chart 5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1038225</xdr:colOff>
      <xdr:row>427</xdr:row>
      <xdr:rowOff>0</xdr:rowOff>
    </xdr:from>
    <xdr:to>
      <xdr:col>11</xdr:col>
      <xdr:colOff>733425</xdr:colOff>
      <xdr:row>427</xdr:row>
      <xdr:rowOff>0</xdr:rowOff>
    </xdr:to>
    <xdr:graphicFrame macro="">
      <xdr:nvGraphicFramePr>
        <xdr:cNvPr id="3078" name="Chart 6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1038225</xdr:colOff>
      <xdr:row>427</xdr:row>
      <xdr:rowOff>0</xdr:rowOff>
    </xdr:from>
    <xdr:to>
      <xdr:col>11</xdr:col>
      <xdr:colOff>733425</xdr:colOff>
      <xdr:row>427</xdr:row>
      <xdr:rowOff>0</xdr:rowOff>
    </xdr:to>
    <xdr:graphicFrame macro="">
      <xdr:nvGraphicFramePr>
        <xdr:cNvPr id="3079" name="Chart 7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1038225</xdr:colOff>
      <xdr:row>427</xdr:row>
      <xdr:rowOff>0</xdr:rowOff>
    </xdr:from>
    <xdr:to>
      <xdr:col>11</xdr:col>
      <xdr:colOff>733425</xdr:colOff>
      <xdr:row>427</xdr:row>
      <xdr:rowOff>0</xdr:rowOff>
    </xdr:to>
    <xdr:graphicFrame macro="">
      <xdr:nvGraphicFramePr>
        <xdr:cNvPr id="3080" name="Chart 8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1038225</xdr:colOff>
      <xdr:row>427</xdr:row>
      <xdr:rowOff>0</xdr:rowOff>
    </xdr:from>
    <xdr:to>
      <xdr:col>11</xdr:col>
      <xdr:colOff>733425</xdr:colOff>
      <xdr:row>427</xdr:row>
      <xdr:rowOff>0</xdr:rowOff>
    </xdr:to>
    <xdr:graphicFrame macro="">
      <xdr:nvGraphicFramePr>
        <xdr:cNvPr id="3081" name="Chart 9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1038225</xdr:colOff>
      <xdr:row>427</xdr:row>
      <xdr:rowOff>0</xdr:rowOff>
    </xdr:from>
    <xdr:to>
      <xdr:col>11</xdr:col>
      <xdr:colOff>733425</xdr:colOff>
      <xdr:row>427</xdr:row>
      <xdr:rowOff>0</xdr:rowOff>
    </xdr:to>
    <xdr:graphicFrame macro="">
      <xdr:nvGraphicFramePr>
        <xdr:cNvPr id="3082" name="Chart 10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4"/>
  <sheetViews>
    <sheetView tabSelected="1" view="pageBreakPreview" topLeftCell="A373" zoomScale="60" zoomScaleNormal="100" zoomScalePageLayoutView="39" workbookViewId="0">
      <selection activeCell="B430" sqref="B430:L430"/>
    </sheetView>
  </sheetViews>
  <sheetFormatPr defaultColWidth="9.109375" defaultRowHeight="15" x14ac:dyDescent="0.25"/>
  <cols>
    <col min="1" max="1" width="4.88671875" style="4" bestFit="1" customWidth="1"/>
    <col min="2" max="2" width="7.5546875" style="4" bestFit="1" customWidth="1"/>
    <col min="3" max="3" width="30.6640625" style="4" bestFit="1" customWidth="1"/>
    <col min="4" max="4" width="16.109375" style="4" bestFit="1" customWidth="1"/>
    <col min="5" max="5" width="14.21875" style="4" bestFit="1" customWidth="1"/>
    <col min="6" max="6" width="17.109375" style="4" bestFit="1" customWidth="1"/>
    <col min="7" max="7" width="18.6640625" style="4" bestFit="1" customWidth="1"/>
    <col min="8" max="8" width="18.109375" style="4" bestFit="1" customWidth="1"/>
    <col min="9" max="9" width="24.77734375" style="4" bestFit="1" customWidth="1"/>
    <col min="10" max="10" width="13.77734375" style="4" bestFit="1" customWidth="1"/>
    <col min="11" max="11" width="15.77734375" style="4" bestFit="1" customWidth="1"/>
    <col min="12" max="12" width="15.44140625" style="4" customWidth="1"/>
    <col min="13" max="13" width="11.88671875" style="4" customWidth="1"/>
    <col min="14" max="14" width="6.33203125" style="4" customWidth="1"/>
    <col min="15" max="16384" width="9.109375" style="4"/>
  </cols>
  <sheetData>
    <row r="1" spans="1:13" ht="15" customHeight="1" thickTop="1" x14ac:dyDescent="0.25">
      <c r="A1" s="1" t="s">
        <v>333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3" ht="15" customHeight="1" x14ac:dyDescent="0.25">
      <c r="A2" s="253" t="s">
        <v>300</v>
      </c>
      <c r="B2" s="254"/>
      <c r="C2" s="254"/>
      <c r="D2" s="254"/>
      <c r="E2" s="254"/>
      <c r="F2" s="254"/>
      <c r="G2" s="254"/>
      <c r="H2" s="254"/>
      <c r="I2" s="254"/>
      <c r="J2" s="254"/>
      <c r="K2" s="255"/>
      <c r="L2" s="256"/>
    </row>
    <row r="3" spans="1:13" ht="15" customHeight="1" x14ac:dyDescent="0.25">
      <c r="A3" s="6"/>
      <c r="B3" s="7"/>
      <c r="C3" s="8"/>
      <c r="D3" s="8"/>
      <c r="E3" s="8"/>
      <c r="F3" s="8"/>
      <c r="G3" s="8"/>
      <c r="H3" s="8"/>
      <c r="I3" s="8"/>
      <c r="J3" s="8"/>
      <c r="K3" s="8"/>
      <c r="L3" s="9"/>
    </row>
    <row r="4" spans="1:13" ht="15" customHeight="1" x14ac:dyDescent="0.25">
      <c r="A4" s="10"/>
      <c r="B4" s="11"/>
      <c r="C4" s="12"/>
      <c r="D4" s="12"/>
      <c r="E4" s="12"/>
      <c r="F4" s="12"/>
      <c r="G4" s="13"/>
      <c r="H4" s="14" t="s">
        <v>346</v>
      </c>
      <c r="I4" s="15"/>
      <c r="J4" s="15"/>
      <c r="K4" s="16">
        <f>D14/4425679.83</f>
        <v>13.331285196019252</v>
      </c>
      <c r="L4" s="17"/>
    </row>
    <row r="5" spans="1:13" ht="15" customHeight="1" x14ac:dyDescent="0.25">
      <c r="A5" s="10"/>
      <c r="B5" s="11"/>
      <c r="C5" s="12"/>
      <c r="D5" s="12"/>
      <c r="E5" s="12"/>
      <c r="F5" s="12"/>
      <c r="G5" s="13"/>
      <c r="H5" s="14" t="s">
        <v>347</v>
      </c>
      <c r="I5" s="18"/>
      <c r="J5" s="15"/>
      <c r="K5" s="15"/>
      <c r="L5" s="19">
        <f>K4</f>
        <v>13.331285196019252</v>
      </c>
    </row>
    <row r="6" spans="1:13" ht="15" customHeight="1" x14ac:dyDescent="0.25">
      <c r="A6" s="10"/>
      <c r="B6" s="11"/>
      <c r="C6" s="12"/>
      <c r="D6" s="12"/>
      <c r="E6" s="12"/>
      <c r="F6" s="12"/>
      <c r="G6" s="13"/>
      <c r="H6" s="14" t="s">
        <v>351</v>
      </c>
      <c r="I6" s="15"/>
      <c r="J6" s="20"/>
      <c r="K6" s="21">
        <f>(D14+D27+D28)/4425679.83/L5</f>
        <v>1</v>
      </c>
      <c r="L6" s="22"/>
    </row>
    <row r="7" spans="1:13" ht="15" customHeight="1" x14ac:dyDescent="0.25">
      <c r="A7" s="10"/>
      <c r="B7" s="11"/>
      <c r="C7" s="12"/>
      <c r="D7" s="12"/>
      <c r="E7" s="12"/>
      <c r="F7" s="12"/>
      <c r="G7" s="13"/>
      <c r="H7" s="14" t="s">
        <v>345</v>
      </c>
      <c r="I7" s="18"/>
      <c r="J7" s="15"/>
      <c r="K7" s="15"/>
      <c r="L7" s="19">
        <f>K6</f>
        <v>1</v>
      </c>
    </row>
    <row r="8" spans="1:13" ht="15" customHeight="1" x14ac:dyDescent="0.25">
      <c r="A8" s="10"/>
      <c r="B8" s="11"/>
      <c r="C8" s="12"/>
      <c r="D8" s="12"/>
      <c r="E8" s="12"/>
      <c r="F8" s="12"/>
      <c r="G8" s="13"/>
      <c r="H8" s="14" t="s">
        <v>10</v>
      </c>
      <c r="I8" s="20"/>
      <c r="J8" s="23">
        <f>(D14+D27+D28)*1.3*(1+K29)*(1+K31)*(1/(1-K30))</f>
        <v>97869200</v>
      </c>
      <c r="K8" s="24" t="s">
        <v>6</v>
      </c>
      <c r="L8" s="25">
        <f>K9/J8-1</f>
        <v>-9.2307692307692313E-2</v>
      </c>
      <c r="M8" s="26"/>
    </row>
    <row r="9" spans="1:13" ht="15" customHeight="1" x14ac:dyDescent="0.25">
      <c r="A9" s="10"/>
      <c r="B9" s="11"/>
      <c r="C9" s="12"/>
      <c r="D9" s="12"/>
      <c r="E9" s="12"/>
      <c r="F9" s="12"/>
      <c r="G9" s="13"/>
      <c r="H9" s="14" t="s">
        <v>359</v>
      </c>
      <c r="I9" s="15"/>
      <c r="J9" s="20"/>
      <c r="K9" s="27">
        <f>(D14+D27+D28)*1.18*(1+K29)*(1+K31)*(1/(1-K30))</f>
        <v>88835120</v>
      </c>
      <c r="L9" s="28"/>
      <c r="M9" s="26"/>
    </row>
    <row r="10" spans="1:13" ht="15" customHeight="1" x14ac:dyDescent="0.25">
      <c r="A10" s="10"/>
      <c r="B10" s="11"/>
      <c r="C10" s="12"/>
      <c r="D10" s="12"/>
      <c r="E10" s="12"/>
      <c r="F10" s="12"/>
      <c r="G10" s="13"/>
      <c r="H10" s="14" t="s">
        <v>198</v>
      </c>
      <c r="I10" s="15"/>
      <c r="J10" s="29">
        <f>K10/J8</f>
        <v>-3.7870072195149741E-9</v>
      </c>
      <c r="K10" s="30">
        <f>D35-K9</f>
        <v>-0.37063136696815491</v>
      </c>
      <c r="L10" s="31"/>
    </row>
    <row r="11" spans="1:13" ht="15" customHeight="1" x14ac:dyDescent="0.25">
      <c r="A11" s="3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33"/>
    </row>
    <row r="12" spans="1:13" ht="15" customHeight="1" x14ac:dyDescent="0.25">
      <c r="A12" s="34" t="s">
        <v>30</v>
      </c>
      <c r="B12" s="35"/>
      <c r="C12" s="35" t="s">
        <v>31</v>
      </c>
      <c r="D12" s="35" t="s">
        <v>313</v>
      </c>
      <c r="E12" s="35" t="s">
        <v>314</v>
      </c>
      <c r="F12" s="36"/>
      <c r="G12" s="12"/>
      <c r="H12" s="12"/>
      <c r="I12" s="12"/>
      <c r="J12" s="12"/>
      <c r="K12" s="12"/>
      <c r="L12" s="33"/>
    </row>
    <row r="13" spans="1:13" ht="15" customHeight="1" x14ac:dyDescent="0.25">
      <c r="A13" s="37">
        <v>1</v>
      </c>
      <c r="B13" s="38" t="s">
        <v>349</v>
      </c>
      <c r="C13" s="39" t="s">
        <v>343</v>
      </c>
      <c r="D13" s="40">
        <v>59000000</v>
      </c>
      <c r="E13" s="40">
        <f>D13</f>
        <v>59000000</v>
      </c>
      <c r="F13" s="36"/>
      <c r="G13" s="12"/>
      <c r="H13" s="12"/>
      <c r="I13" s="12"/>
      <c r="J13" s="12"/>
      <c r="K13" s="12"/>
      <c r="L13" s="33"/>
    </row>
    <row r="14" spans="1:13" ht="15" customHeight="1" x14ac:dyDescent="0.25">
      <c r="A14" s="37"/>
      <c r="B14" s="38" t="s">
        <v>350</v>
      </c>
      <c r="C14" s="39" t="s">
        <v>348</v>
      </c>
      <c r="D14" s="39">
        <f>D13-D27-D28</f>
        <v>59000000</v>
      </c>
      <c r="E14" s="39">
        <f>D14</f>
        <v>59000000</v>
      </c>
      <c r="F14" s="36"/>
      <c r="G14" s="41"/>
      <c r="H14" s="41"/>
      <c r="I14" s="12"/>
      <c r="J14" s="12"/>
      <c r="K14" s="12"/>
      <c r="L14" s="33"/>
    </row>
    <row r="15" spans="1:13" ht="15" customHeight="1" x14ac:dyDescent="0.25">
      <c r="A15" s="37">
        <f>A13+1</f>
        <v>2</v>
      </c>
      <c r="B15" s="38" t="s">
        <v>214</v>
      </c>
      <c r="C15" s="38" t="s">
        <v>207</v>
      </c>
      <c r="D15" s="39">
        <f>F135</f>
        <v>1463610.8730892988</v>
      </c>
      <c r="E15" s="39">
        <f t="shared" ref="E15:E23" si="0">D15</f>
        <v>1463610.8730892988</v>
      </c>
      <c r="F15" s="36"/>
      <c r="G15" s="41"/>
      <c r="H15" s="41"/>
      <c r="I15" s="12"/>
      <c r="J15" s="12"/>
      <c r="K15" s="12"/>
      <c r="L15" s="33"/>
    </row>
    <row r="16" spans="1:13" s="44" customFormat="1" ht="15" customHeight="1" x14ac:dyDescent="0.25">
      <c r="A16" s="37">
        <f t="shared" ref="A16:A35" si="1">A15+1</f>
        <v>3</v>
      </c>
      <c r="B16" s="38" t="s">
        <v>212</v>
      </c>
      <c r="C16" s="39" t="s">
        <v>311</v>
      </c>
      <c r="D16" s="39">
        <f>H162</f>
        <v>0</v>
      </c>
      <c r="E16" s="39">
        <f t="shared" si="0"/>
        <v>0</v>
      </c>
      <c r="F16" s="36"/>
      <c r="G16" s="41"/>
      <c r="H16" s="41"/>
      <c r="I16" s="41"/>
      <c r="J16" s="41"/>
      <c r="K16" s="41"/>
      <c r="L16" s="42"/>
      <c r="M16" s="43"/>
    </row>
    <row r="17" spans="1:14" s="44" customFormat="1" ht="15" customHeight="1" x14ac:dyDescent="0.25">
      <c r="A17" s="37">
        <f t="shared" si="1"/>
        <v>4</v>
      </c>
      <c r="B17" s="38" t="s">
        <v>213</v>
      </c>
      <c r="C17" s="39" t="s">
        <v>223</v>
      </c>
      <c r="D17" s="39">
        <f>J202</f>
        <v>138867.55412520055</v>
      </c>
      <c r="E17" s="39">
        <f t="shared" si="0"/>
        <v>138867.55412520055</v>
      </c>
      <c r="F17" s="45"/>
      <c r="G17" s="46"/>
      <c r="H17" s="47"/>
      <c r="I17" s="48" t="s">
        <v>220</v>
      </c>
      <c r="J17" s="49"/>
      <c r="K17" s="49"/>
      <c r="L17" s="50"/>
      <c r="M17" s="43"/>
    </row>
    <row r="18" spans="1:14" ht="15" customHeight="1" x14ac:dyDescent="0.25">
      <c r="A18" s="37">
        <f t="shared" si="1"/>
        <v>5</v>
      </c>
      <c r="B18" s="38" t="s">
        <v>216</v>
      </c>
      <c r="C18" s="38" t="s">
        <v>224</v>
      </c>
      <c r="D18" s="39">
        <f>I245</f>
        <v>450597.4396254507</v>
      </c>
      <c r="E18" s="39">
        <f t="shared" si="0"/>
        <v>450597.4396254507</v>
      </c>
      <c r="F18" s="45"/>
      <c r="G18" s="46"/>
      <c r="H18" s="47"/>
      <c r="I18" s="14" t="s">
        <v>32</v>
      </c>
      <c r="J18" s="51"/>
      <c r="K18" s="52" t="s">
        <v>196</v>
      </c>
      <c r="L18" s="53" t="s">
        <v>197</v>
      </c>
      <c r="M18" s="26"/>
    </row>
    <row r="19" spans="1:14" ht="15" customHeight="1" x14ac:dyDescent="0.25">
      <c r="A19" s="37">
        <f t="shared" si="1"/>
        <v>6</v>
      </c>
      <c r="B19" s="38" t="s">
        <v>215</v>
      </c>
      <c r="C19" s="38" t="s">
        <v>130</v>
      </c>
      <c r="D19" s="39">
        <f>J269</f>
        <v>119981.56676417326</v>
      </c>
      <c r="E19" s="39">
        <f t="shared" si="0"/>
        <v>119981.56676417326</v>
      </c>
      <c r="F19" s="45"/>
      <c r="G19" s="46"/>
      <c r="H19" s="47"/>
      <c r="I19" s="14" t="s">
        <v>236</v>
      </c>
      <c r="J19" s="15"/>
      <c r="K19" s="54"/>
      <c r="L19" s="55">
        <f t="shared" ref="L19:L26" si="2">K19</f>
        <v>0</v>
      </c>
      <c r="M19" s="56"/>
    </row>
    <row r="20" spans="1:14" ht="15" customHeight="1" x14ac:dyDescent="0.25">
      <c r="A20" s="37">
        <f t="shared" si="1"/>
        <v>7</v>
      </c>
      <c r="B20" s="38" t="s">
        <v>217</v>
      </c>
      <c r="C20" s="38" t="s">
        <v>131</v>
      </c>
      <c r="D20" s="39">
        <f>J312</f>
        <v>0</v>
      </c>
      <c r="E20" s="39">
        <f t="shared" si="0"/>
        <v>0</v>
      </c>
      <c r="F20" s="45"/>
      <c r="G20" s="46"/>
      <c r="H20" s="47"/>
      <c r="I20" s="14" t="s">
        <v>237</v>
      </c>
      <c r="J20" s="15"/>
      <c r="K20" s="52"/>
      <c r="L20" s="55">
        <f t="shared" si="2"/>
        <v>0</v>
      </c>
      <c r="M20" s="56"/>
    </row>
    <row r="21" spans="1:14" ht="15" customHeight="1" x14ac:dyDescent="0.25">
      <c r="A21" s="37">
        <f t="shared" si="1"/>
        <v>8</v>
      </c>
      <c r="B21" s="38" t="s">
        <v>219</v>
      </c>
      <c r="C21" s="38" t="s">
        <v>200</v>
      </c>
      <c r="D21" s="39">
        <f>J329</f>
        <v>0</v>
      </c>
      <c r="E21" s="39">
        <f t="shared" si="0"/>
        <v>0</v>
      </c>
      <c r="F21" s="57"/>
      <c r="G21" s="58"/>
      <c r="H21" s="59"/>
      <c r="I21" s="14" t="s">
        <v>33</v>
      </c>
      <c r="J21" s="15"/>
      <c r="K21" s="60"/>
      <c r="L21" s="55">
        <f t="shared" si="2"/>
        <v>0</v>
      </c>
      <c r="M21" s="56"/>
    </row>
    <row r="22" spans="1:14" ht="15" customHeight="1" x14ac:dyDescent="0.25">
      <c r="A22" s="37">
        <f t="shared" si="1"/>
        <v>9</v>
      </c>
      <c r="B22" s="38" t="s">
        <v>218</v>
      </c>
      <c r="C22" s="38" t="s">
        <v>132</v>
      </c>
      <c r="D22" s="39">
        <f>I366/(1+K29)/(1/(1-K30))/(1+K31)</f>
        <v>283200</v>
      </c>
      <c r="E22" s="39">
        <f t="shared" si="0"/>
        <v>283200</v>
      </c>
      <c r="F22" s="45"/>
      <c r="G22" s="46"/>
      <c r="H22" s="47"/>
      <c r="I22" s="14" t="s">
        <v>238</v>
      </c>
      <c r="J22" s="15"/>
      <c r="K22" s="52"/>
      <c r="L22" s="55">
        <f t="shared" si="2"/>
        <v>0</v>
      </c>
      <c r="M22" s="56"/>
    </row>
    <row r="23" spans="1:14" ht="15" customHeight="1" x14ac:dyDescent="0.25">
      <c r="A23" s="37">
        <f t="shared" si="1"/>
        <v>10</v>
      </c>
      <c r="B23" s="38" t="s">
        <v>228</v>
      </c>
      <c r="C23" s="39" t="s">
        <v>295</v>
      </c>
      <c r="D23" s="39">
        <f>J453</f>
        <v>1201742.3049782615</v>
      </c>
      <c r="E23" s="39">
        <f t="shared" si="0"/>
        <v>1201742.3049782615</v>
      </c>
      <c r="F23" s="61"/>
      <c r="G23" s="62"/>
      <c r="H23" s="63"/>
      <c r="I23" s="64" t="s">
        <v>239</v>
      </c>
      <c r="J23" s="20"/>
      <c r="K23" s="54"/>
      <c r="L23" s="55">
        <f t="shared" si="2"/>
        <v>0</v>
      </c>
      <c r="M23" s="56"/>
      <c r="N23" s="65"/>
    </row>
    <row r="24" spans="1:14" ht="15" customHeight="1" x14ac:dyDescent="0.25">
      <c r="A24" s="37">
        <f t="shared" si="1"/>
        <v>11</v>
      </c>
      <c r="B24" s="38"/>
      <c r="C24" s="52" t="s">
        <v>338</v>
      </c>
      <c r="D24" s="39">
        <f>SUM(D14:D23)</f>
        <v>62657999.73858238</v>
      </c>
      <c r="E24" s="39">
        <f>SUM(E14:E23)</f>
        <v>62657999.73858238</v>
      </c>
      <c r="F24" s="61"/>
      <c r="G24" s="62"/>
      <c r="H24" s="63"/>
      <c r="I24" s="14" t="s">
        <v>34</v>
      </c>
      <c r="J24" s="20"/>
      <c r="K24" s="52"/>
      <c r="L24" s="66">
        <f t="shared" si="2"/>
        <v>0</v>
      </c>
      <c r="M24" s="56"/>
      <c r="N24" s="65"/>
    </row>
    <row r="25" spans="1:14" ht="15" customHeight="1" x14ac:dyDescent="0.25">
      <c r="A25" s="37">
        <f t="shared" si="1"/>
        <v>12</v>
      </c>
      <c r="B25" s="38" t="s">
        <v>235</v>
      </c>
      <c r="C25" s="39" t="s">
        <v>296</v>
      </c>
      <c r="D25" s="39">
        <f>K27</f>
        <v>6961999.9709541546</v>
      </c>
      <c r="E25" s="39">
        <f>L27</f>
        <v>6961999.9709541546</v>
      </c>
      <c r="F25" s="61"/>
      <c r="G25" s="67"/>
      <c r="H25" s="68"/>
      <c r="I25" s="14" t="s">
        <v>342</v>
      </c>
      <c r="J25" s="20"/>
      <c r="K25" s="52">
        <f>0.111111111111112*(D27+D28)</f>
        <v>0</v>
      </c>
      <c r="L25" s="66">
        <f t="shared" si="2"/>
        <v>0</v>
      </c>
      <c r="M25" s="69"/>
      <c r="N25" s="70"/>
    </row>
    <row r="26" spans="1:14" ht="15" customHeight="1" x14ac:dyDescent="0.25">
      <c r="A26" s="37">
        <f t="shared" si="1"/>
        <v>13</v>
      </c>
      <c r="B26" s="38"/>
      <c r="C26" s="39" t="s">
        <v>232</v>
      </c>
      <c r="D26" s="39">
        <f>SUM(D24:D25)</f>
        <v>69619999.709536538</v>
      </c>
      <c r="E26" s="39">
        <f>SUM(E24:E25)</f>
        <v>69619999.709536538</v>
      </c>
      <c r="F26" s="61"/>
      <c r="G26" s="67"/>
      <c r="H26" s="68"/>
      <c r="I26" s="14" t="s">
        <v>344</v>
      </c>
      <c r="J26" s="20"/>
      <c r="K26" s="52">
        <f>0.11111111111112*D24</f>
        <v>6961999.9709541546</v>
      </c>
      <c r="L26" s="53">
        <f t="shared" si="2"/>
        <v>6961999.9709541546</v>
      </c>
      <c r="M26" s="71"/>
      <c r="N26" s="70"/>
    </row>
    <row r="27" spans="1:14" ht="15" customHeight="1" x14ac:dyDescent="0.25">
      <c r="A27" s="37">
        <f t="shared" si="1"/>
        <v>14</v>
      </c>
      <c r="B27" s="38" t="s">
        <v>240</v>
      </c>
      <c r="C27" s="39" t="s">
        <v>201</v>
      </c>
      <c r="D27" s="72"/>
      <c r="E27" s="72">
        <f>D27</f>
        <v>0</v>
      </c>
      <c r="F27" s="61"/>
      <c r="G27" s="67"/>
      <c r="H27" s="68"/>
      <c r="I27" s="14" t="s">
        <v>35</v>
      </c>
      <c r="J27" s="20"/>
      <c r="K27" s="39">
        <f>SUM(K19:K26)</f>
        <v>6961999.9709541546</v>
      </c>
      <c r="L27" s="73">
        <f>SUM(L19:L26)</f>
        <v>6961999.9709541546</v>
      </c>
      <c r="M27" s="71"/>
      <c r="N27" s="70"/>
    </row>
    <row r="28" spans="1:14" ht="15" customHeight="1" x14ac:dyDescent="0.25">
      <c r="A28" s="37">
        <f t="shared" si="1"/>
        <v>15</v>
      </c>
      <c r="B28" s="38" t="s">
        <v>221</v>
      </c>
      <c r="C28" s="39" t="s">
        <v>202</v>
      </c>
      <c r="D28" s="72"/>
      <c r="E28" s="72">
        <f>D28</f>
        <v>0</v>
      </c>
      <c r="F28" s="61"/>
      <c r="G28" s="67"/>
      <c r="H28" s="68"/>
      <c r="I28" s="64"/>
      <c r="J28" s="15"/>
      <c r="K28" s="15"/>
      <c r="L28" s="74"/>
      <c r="M28" s="71"/>
      <c r="N28" s="70"/>
    </row>
    <row r="29" spans="1:14" ht="15" customHeight="1" x14ac:dyDescent="0.25">
      <c r="A29" s="37">
        <f t="shared" si="1"/>
        <v>16</v>
      </c>
      <c r="B29" s="38"/>
      <c r="C29" s="39"/>
      <c r="D29" s="39">
        <f>SUM(D26:D28)</f>
        <v>69619999.709536538</v>
      </c>
      <c r="E29" s="39">
        <f>SUM(E26:E28)</f>
        <v>69619999.709536538</v>
      </c>
      <c r="F29" s="61"/>
      <c r="G29" s="67"/>
      <c r="H29" s="68"/>
      <c r="I29" s="64" t="s">
        <v>162</v>
      </c>
      <c r="J29" s="20"/>
      <c r="K29" s="75">
        <v>0.1</v>
      </c>
      <c r="L29" s="76">
        <f>K29</f>
        <v>0.1</v>
      </c>
      <c r="M29" s="71"/>
      <c r="N29" s="70"/>
    </row>
    <row r="30" spans="1:14" ht="15" customHeight="1" x14ac:dyDescent="0.25">
      <c r="A30" s="37">
        <f t="shared" si="1"/>
        <v>17</v>
      </c>
      <c r="B30" s="39" t="s">
        <v>241</v>
      </c>
      <c r="C30" s="39" t="s">
        <v>163</v>
      </c>
      <c r="D30" s="39">
        <f>D29*K29</f>
        <v>6961999.9709536545</v>
      </c>
      <c r="E30" s="39">
        <f>E29*L29</f>
        <v>6961999.9709536545</v>
      </c>
      <c r="F30" s="61"/>
      <c r="G30" s="67"/>
      <c r="H30" s="68"/>
      <c r="I30" s="64" t="s">
        <v>164</v>
      </c>
      <c r="J30" s="20"/>
      <c r="K30" s="77"/>
      <c r="L30" s="76">
        <f>K30</f>
        <v>0</v>
      </c>
      <c r="M30" s="56"/>
    </row>
    <row r="31" spans="1:14" ht="15" customHeight="1" x14ac:dyDescent="0.25">
      <c r="A31" s="37">
        <f t="shared" si="1"/>
        <v>18</v>
      </c>
      <c r="B31" s="39"/>
      <c r="C31" s="52" t="s">
        <v>233</v>
      </c>
      <c r="D31" s="39">
        <f>SUM(D29:D30)</f>
        <v>76581999.680490196</v>
      </c>
      <c r="E31" s="39">
        <f>SUM(E29:E30)</f>
        <v>76581999.680490196</v>
      </c>
      <c r="F31" s="61"/>
      <c r="G31" s="67"/>
      <c r="H31" s="68"/>
      <c r="I31" s="64" t="s">
        <v>181</v>
      </c>
      <c r="J31" s="20"/>
      <c r="K31" s="75">
        <v>0.16</v>
      </c>
      <c r="L31" s="76">
        <f>K31</f>
        <v>0.16</v>
      </c>
      <c r="M31" s="78"/>
    </row>
    <row r="32" spans="1:14" ht="15" customHeight="1" x14ac:dyDescent="0.25">
      <c r="A32" s="37">
        <f t="shared" si="1"/>
        <v>19</v>
      </c>
      <c r="B32" s="39"/>
      <c r="C32" s="38" t="s">
        <v>164</v>
      </c>
      <c r="D32" s="79">
        <f>K30*(D31/(1-K30))</f>
        <v>0</v>
      </c>
      <c r="E32" s="79">
        <f>L30*(E31/(1-L30))</f>
        <v>0</v>
      </c>
      <c r="F32" s="61"/>
      <c r="G32" s="67"/>
      <c r="H32" s="68"/>
      <c r="I32" s="64"/>
      <c r="J32" s="15"/>
      <c r="K32" s="15"/>
      <c r="L32" s="74"/>
      <c r="M32" s="56"/>
    </row>
    <row r="33" spans="1:14" ht="15" customHeight="1" x14ac:dyDescent="0.25">
      <c r="A33" s="37">
        <f t="shared" si="1"/>
        <v>20</v>
      </c>
      <c r="B33" s="39"/>
      <c r="C33" s="52" t="s">
        <v>234</v>
      </c>
      <c r="D33" s="79">
        <f>SUM(D31:D32)</f>
        <v>76581999.680490196</v>
      </c>
      <c r="E33" s="79">
        <f>SUM(E31:E32)</f>
        <v>76581999.680490196</v>
      </c>
      <c r="F33" s="61"/>
      <c r="G33" s="67"/>
      <c r="H33" s="68"/>
      <c r="I33" s="48" t="s">
        <v>339</v>
      </c>
      <c r="J33" s="49"/>
      <c r="K33" s="49"/>
      <c r="L33" s="50"/>
      <c r="M33" s="56"/>
    </row>
    <row r="34" spans="1:14" ht="15" customHeight="1" x14ac:dyDescent="0.25">
      <c r="A34" s="37">
        <f t="shared" si="1"/>
        <v>21</v>
      </c>
      <c r="B34" s="24"/>
      <c r="C34" s="38" t="s">
        <v>165</v>
      </c>
      <c r="D34" s="39">
        <f>D33*K31</f>
        <v>12253119.948878432</v>
      </c>
      <c r="E34" s="39">
        <f>E33*L31</f>
        <v>12253119.948878432</v>
      </c>
      <c r="F34" s="61"/>
      <c r="G34" s="67"/>
      <c r="H34" s="68"/>
      <c r="I34" s="80" t="s">
        <v>340</v>
      </c>
      <c r="J34" s="20"/>
      <c r="K34" s="39"/>
      <c r="L34" s="17"/>
      <c r="M34" s="56"/>
      <c r="N34" s="81"/>
    </row>
    <row r="35" spans="1:14" ht="15" customHeight="1" x14ac:dyDescent="0.25">
      <c r="A35" s="37">
        <f t="shared" si="1"/>
        <v>22</v>
      </c>
      <c r="B35" s="39"/>
      <c r="C35" s="52" t="s">
        <v>36</v>
      </c>
      <c r="D35" s="39">
        <f>SUM(D33:D34)</f>
        <v>88835119.629368633</v>
      </c>
      <c r="E35" s="39">
        <f>SUM(E33:E34)</f>
        <v>88835119.629368633</v>
      </c>
      <c r="F35" s="61"/>
      <c r="G35" s="67"/>
      <c r="H35" s="68"/>
      <c r="I35" s="80" t="s">
        <v>341</v>
      </c>
      <c r="J35" s="20"/>
      <c r="K35" s="39"/>
      <c r="L35" s="17"/>
      <c r="M35" s="56"/>
    </row>
    <row r="36" spans="1:14" ht="15" customHeight="1" x14ac:dyDescent="0.25">
      <c r="A36" s="3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33"/>
      <c r="M36" s="56"/>
    </row>
    <row r="37" spans="1:14" ht="15" customHeight="1" x14ac:dyDescent="0.25">
      <c r="A37" s="82" t="s">
        <v>252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4"/>
      <c r="M37" s="56"/>
      <c r="N37" s="26"/>
    </row>
    <row r="38" spans="1:14" ht="15" customHeight="1" x14ac:dyDescent="0.25">
      <c r="A38" s="3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33"/>
      <c r="M38" s="56"/>
      <c r="N38" s="26"/>
    </row>
    <row r="39" spans="1:14" ht="15" customHeight="1" x14ac:dyDescent="0.25">
      <c r="A39" s="85"/>
      <c r="B39" s="86" t="s">
        <v>297</v>
      </c>
      <c r="C39" s="87"/>
      <c r="D39" s="87"/>
      <c r="E39" s="88"/>
      <c r="F39" s="89"/>
      <c r="G39" s="90" t="s">
        <v>157</v>
      </c>
      <c r="H39" s="91"/>
      <c r="I39" s="91"/>
      <c r="J39" s="91"/>
      <c r="K39" s="91"/>
      <c r="L39" s="92"/>
      <c r="M39" s="56"/>
    </row>
    <row r="40" spans="1:14" ht="15" customHeight="1" x14ac:dyDescent="0.25">
      <c r="A40" s="85"/>
      <c r="B40" s="91" t="s">
        <v>337</v>
      </c>
      <c r="C40" s="91"/>
      <c r="D40" s="91"/>
      <c r="E40" s="93">
        <f>(D29-D14-D27-D28)/(D14+D27+D28)</f>
        <v>0.17999999507689046</v>
      </c>
      <c r="F40" s="94" t="str">
        <f>IF(AND(E40&lt;20%),"OK")</f>
        <v>OK</v>
      </c>
      <c r="G40" s="95"/>
      <c r="H40" s="91"/>
      <c r="I40" s="96" t="s">
        <v>158</v>
      </c>
      <c r="J40" s="97" t="s">
        <v>173</v>
      </c>
      <c r="K40" s="97" t="s">
        <v>173</v>
      </c>
      <c r="L40" s="98" t="s">
        <v>159</v>
      </c>
      <c r="M40" s="56"/>
    </row>
    <row r="41" spans="1:14" ht="15" customHeight="1" x14ac:dyDescent="0.25">
      <c r="A41" s="85"/>
      <c r="B41" s="91" t="s">
        <v>265</v>
      </c>
      <c r="C41" s="91"/>
      <c r="D41" s="91"/>
      <c r="E41" s="93">
        <f>L45/D35</f>
        <v>8.6206896551730514E-2</v>
      </c>
      <c r="F41" s="94" t="str">
        <f>IF(AND(E41&gt;0.1/(1+K30)/(1+K31)),"OK")</f>
        <v>OK</v>
      </c>
      <c r="G41" s="91" t="s">
        <v>160</v>
      </c>
      <c r="H41" s="91"/>
      <c r="I41" s="39">
        <f>D35*0.9</f>
        <v>79951607.66643177</v>
      </c>
      <c r="J41" s="39">
        <f>0.05*D35</f>
        <v>4441755.9814684317</v>
      </c>
      <c r="K41" s="39">
        <f>0.05*D35</f>
        <v>4441755.9814684317</v>
      </c>
      <c r="L41" s="73">
        <f>SUM(I41:K41)</f>
        <v>88835119.629368633</v>
      </c>
      <c r="M41" s="70"/>
    </row>
    <row r="42" spans="1:14" ht="15" customHeight="1" x14ac:dyDescent="0.25">
      <c r="A42" s="99"/>
      <c r="B42" s="91" t="s">
        <v>330</v>
      </c>
      <c r="C42" s="91"/>
      <c r="D42" s="91"/>
      <c r="E42" s="70">
        <f>D32/D33</f>
        <v>0</v>
      </c>
      <c r="F42" s="94" t="str">
        <f>IF(AND(E42&lt;3.01%),"OK")</f>
        <v>OK</v>
      </c>
      <c r="G42" s="91" t="s">
        <v>161</v>
      </c>
      <c r="H42" s="91"/>
      <c r="I42" s="39">
        <f>I41-I41/(1+K31)</f>
        <v>11027807.953990579</v>
      </c>
      <c r="J42" s="39">
        <f>J41-J41/(1+K31)</f>
        <v>612655.9974439214</v>
      </c>
      <c r="K42" s="39">
        <f>K41-K41/(1+K31)</f>
        <v>612655.9974439214</v>
      </c>
      <c r="L42" s="73">
        <f>L41-L41/(1+K31)</f>
        <v>12253119.948878422</v>
      </c>
      <c r="M42" s="70"/>
    </row>
    <row r="43" spans="1:14" ht="15" customHeight="1" x14ac:dyDescent="0.25">
      <c r="A43" s="99"/>
      <c r="B43" s="64" t="s">
        <v>298</v>
      </c>
      <c r="C43" s="15"/>
      <c r="D43" s="20"/>
      <c r="E43" s="39">
        <f>D26-D14</f>
        <v>10619999.709536538</v>
      </c>
      <c r="F43" s="100"/>
      <c r="G43" s="91" t="s">
        <v>180</v>
      </c>
      <c r="H43" s="91"/>
      <c r="I43" s="39">
        <f>I41/(1+K31)*K30</f>
        <v>0</v>
      </c>
      <c r="J43" s="39">
        <f>J41/(1+K31)*K30</f>
        <v>0</v>
      </c>
      <c r="K43" s="39">
        <f>K41/(1+K31)*K30</f>
        <v>0</v>
      </c>
      <c r="L43" s="73">
        <f>L41/(1+K31)*K30</f>
        <v>0</v>
      </c>
      <c r="M43" s="70"/>
    </row>
    <row r="44" spans="1:14" ht="15" customHeight="1" x14ac:dyDescent="0.25">
      <c r="A44" s="85"/>
      <c r="F44" s="56"/>
      <c r="G44" s="91" t="s">
        <v>172</v>
      </c>
      <c r="H44" s="91"/>
      <c r="I44" s="39">
        <f>(D24+D27+D28)*(1+K29)</f>
        <v>68923799.712440625</v>
      </c>
      <c r="J44" s="39">
        <v>0</v>
      </c>
      <c r="K44" s="39">
        <v>0</v>
      </c>
      <c r="L44" s="73">
        <f>SUM(I44:K44)</f>
        <v>68923799.712440625</v>
      </c>
      <c r="M44" s="70"/>
    </row>
    <row r="45" spans="1:14" ht="15" customHeight="1" x14ac:dyDescent="0.25">
      <c r="A45" s="85"/>
      <c r="B45" s="101"/>
      <c r="C45" s="101"/>
      <c r="D45" s="101"/>
      <c r="E45" s="101"/>
      <c r="F45" s="102" t="str">
        <f>IF(AND(I45&gt;0),"OK")</f>
        <v>OK</v>
      </c>
      <c r="G45" s="91" t="s">
        <v>179</v>
      </c>
      <c r="H45" s="91"/>
      <c r="I45" s="39">
        <f>I41-I42-I43-I44</f>
        <v>5.6624412536621094E-7</v>
      </c>
      <c r="J45" s="39">
        <f>J41-J42-J43-J44</f>
        <v>3829099.9840245103</v>
      </c>
      <c r="K45" s="39">
        <f>K41-K42-K43-K44</f>
        <v>3829099.9840245103</v>
      </c>
      <c r="L45" s="73">
        <f>SUM(I45:K45)</f>
        <v>7658199.9680495868</v>
      </c>
      <c r="M45" s="70"/>
    </row>
    <row r="46" spans="1:14" ht="15" customHeight="1" x14ac:dyDescent="0.25">
      <c r="A46" s="85"/>
      <c r="B46" s="101"/>
      <c r="C46" s="101"/>
      <c r="D46" s="101"/>
      <c r="E46" s="101"/>
      <c r="F46" s="78"/>
      <c r="G46" s="91" t="s">
        <v>199</v>
      </c>
      <c r="H46" s="91"/>
      <c r="I46" s="93">
        <f>I45/$D$35</f>
        <v>6.3741021313265867E-15</v>
      </c>
      <c r="J46" s="93">
        <f>J45/$D$35</f>
        <v>4.3103448275862072E-2</v>
      </c>
      <c r="K46" s="93">
        <f>K45/$D$35</f>
        <v>4.3103448275862072E-2</v>
      </c>
      <c r="L46" s="93">
        <f>L45/$D$35</f>
        <v>8.6206896551730514E-2</v>
      </c>
      <c r="M46" s="70"/>
      <c r="N46" s="4">
        <f>1/0.97</f>
        <v>1.0309278350515465</v>
      </c>
    </row>
    <row r="47" spans="1:14" ht="15" customHeight="1" thickBot="1" x14ac:dyDescent="0.3">
      <c r="A47" s="103"/>
      <c r="B47" s="104"/>
      <c r="C47" s="104"/>
      <c r="D47" s="104"/>
      <c r="E47" s="105"/>
      <c r="F47" s="106"/>
      <c r="G47" s="106"/>
      <c r="H47" s="104"/>
      <c r="I47" s="107"/>
      <c r="J47" s="107"/>
      <c r="K47" s="107"/>
      <c r="L47" s="108"/>
      <c r="M47" s="26"/>
    </row>
    <row r="48" spans="1:14" ht="15" customHeight="1" thickTop="1" x14ac:dyDescent="0.25">
      <c r="A48" s="109" t="s">
        <v>43</v>
      </c>
      <c r="B48" s="257" t="s">
        <v>310</v>
      </c>
      <c r="C48" s="258"/>
      <c r="D48" s="258"/>
      <c r="E48" s="258"/>
      <c r="F48" s="258"/>
      <c r="G48" s="258"/>
      <c r="H48" s="258"/>
      <c r="I48" s="258"/>
      <c r="J48" s="258"/>
      <c r="K48" s="258"/>
      <c r="L48" s="259"/>
    </row>
    <row r="49" spans="1:12" ht="15" customHeight="1" x14ac:dyDescent="0.25">
      <c r="A49" s="6" t="s">
        <v>75</v>
      </c>
      <c r="B49" s="110"/>
      <c r="C49" s="111" t="s">
        <v>19</v>
      </c>
      <c r="D49" s="110"/>
      <c r="E49" s="112" t="s">
        <v>20</v>
      </c>
      <c r="F49" s="112" t="s">
        <v>21</v>
      </c>
      <c r="G49" s="113" t="s">
        <v>124</v>
      </c>
      <c r="H49" s="114"/>
      <c r="I49" s="113" t="s">
        <v>125</v>
      </c>
      <c r="J49" s="20"/>
      <c r="K49" s="112" t="s">
        <v>361</v>
      </c>
      <c r="L49" s="115" t="s">
        <v>38</v>
      </c>
    </row>
    <row r="50" spans="1:12" ht="15" customHeight="1" x14ac:dyDescent="0.25">
      <c r="A50" s="116"/>
      <c r="B50" s="117"/>
      <c r="C50" s="118"/>
      <c r="D50" s="117"/>
      <c r="E50" s="119"/>
      <c r="F50" s="119"/>
      <c r="G50" s="52" t="s">
        <v>134</v>
      </c>
      <c r="H50" s="52" t="s">
        <v>126</v>
      </c>
      <c r="I50" s="52" t="s">
        <v>135</v>
      </c>
      <c r="J50" s="52" t="s">
        <v>294</v>
      </c>
      <c r="K50" s="120"/>
      <c r="L50" s="121"/>
    </row>
    <row r="51" spans="1:12" ht="15" customHeight="1" x14ac:dyDescent="0.25">
      <c r="A51" s="122"/>
      <c r="B51" s="20"/>
      <c r="C51" s="80"/>
      <c r="D51" s="20"/>
      <c r="E51" s="39"/>
      <c r="F51" s="39"/>
      <c r="G51" s="39"/>
      <c r="H51" s="123"/>
      <c r="I51" s="123">
        <f>G51*F51</f>
        <v>0</v>
      </c>
      <c r="J51" s="124">
        <f>H51*F51</f>
        <v>0</v>
      </c>
      <c r="K51" s="125">
        <f>G51+H51</f>
        <v>0</v>
      </c>
      <c r="L51" s="126">
        <f>K51*F51</f>
        <v>0</v>
      </c>
    </row>
    <row r="52" spans="1:12" ht="15" customHeight="1" x14ac:dyDescent="0.25">
      <c r="A52" s="122"/>
      <c r="B52" s="20"/>
      <c r="C52" s="80"/>
      <c r="D52" s="20"/>
      <c r="E52" s="39"/>
      <c r="F52" s="39"/>
      <c r="G52" s="39"/>
      <c r="H52" s="52"/>
      <c r="I52" s="123">
        <f t="shared" ref="I52:I68" si="3">G52*F52</f>
        <v>0</v>
      </c>
      <c r="J52" s="124">
        <f t="shared" ref="J52:J68" si="4">H52*F52</f>
        <v>0</v>
      </c>
      <c r="K52" s="125">
        <f t="shared" ref="K52:K68" si="5">G52+H52</f>
        <v>0</v>
      </c>
      <c r="L52" s="126">
        <f t="shared" ref="L52:L68" si="6">K52*F52</f>
        <v>0</v>
      </c>
    </row>
    <row r="53" spans="1:12" ht="15" customHeight="1" x14ac:dyDescent="0.25">
      <c r="A53" s="122"/>
      <c r="B53" s="20"/>
      <c r="C53" s="80"/>
      <c r="D53" s="20"/>
      <c r="E53" s="39"/>
      <c r="F53" s="39"/>
      <c r="G53" s="39"/>
      <c r="H53" s="52"/>
      <c r="I53" s="123">
        <f t="shared" si="3"/>
        <v>0</v>
      </c>
      <c r="J53" s="124">
        <f t="shared" si="4"/>
        <v>0</v>
      </c>
      <c r="K53" s="125">
        <f t="shared" si="5"/>
        <v>0</v>
      </c>
      <c r="L53" s="126">
        <f t="shared" si="6"/>
        <v>0</v>
      </c>
    </row>
    <row r="54" spans="1:12" ht="15" customHeight="1" x14ac:dyDescent="0.25">
      <c r="A54" s="122"/>
      <c r="B54" s="20"/>
      <c r="C54" s="80"/>
      <c r="D54" s="20"/>
      <c r="E54" s="39"/>
      <c r="F54" s="39"/>
      <c r="G54" s="39"/>
      <c r="H54" s="52"/>
      <c r="I54" s="123">
        <f t="shared" si="3"/>
        <v>0</v>
      </c>
      <c r="J54" s="124">
        <f t="shared" si="4"/>
        <v>0</v>
      </c>
      <c r="K54" s="125">
        <f t="shared" si="5"/>
        <v>0</v>
      </c>
      <c r="L54" s="126">
        <f t="shared" si="6"/>
        <v>0</v>
      </c>
    </row>
    <row r="55" spans="1:12" ht="15" customHeight="1" x14ac:dyDescent="0.25">
      <c r="A55" s="122"/>
      <c r="B55" s="20"/>
      <c r="C55" s="80"/>
      <c r="D55" s="20"/>
      <c r="E55" s="39"/>
      <c r="F55" s="39"/>
      <c r="G55" s="39"/>
      <c r="H55" s="52"/>
      <c r="I55" s="123">
        <f t="shared" si="3"/>
        <v>0</v>
      </c>
      <c r="J55" s="124">
        <f t="shared" si="4"/>
        <v>0</v>
      </c>
      <c r="K55" s="125">
        <f t="shared" si="5"/>
        <v>0</v>
      </c>
      <c r="L55" s="126">
        <f t="shared" si="6"/>
        <v>0</v>
      </c>
    </row>
    <row r="56" spans="1:12" ht="15" customHeight="1" x14ac:dyDescent="0.25">
      <c r="A56" s="122"/>
      <c r="B56" s="20"/>
      <c r="C56" s="80"/>
      <c r="D56" s="20"/>
      <c r="E56" s="39"/>
      <c r="F56" s="39"/>
      <c r="G56" s="39"/>
      <c r="H56" s="52"/>
      <c r="I56" s="123">
        <f t="shared" si="3"/>
        <v>0</v>
      </c>
      <c r="J56" s="124">
        <f t="shared" si="4"/>
        <v>0</v>
      </c>
      <c r="K56" s="125">
        <f t="shared" si="5"/>
        <v>0</v>
      </c>
      <c r="L56" s="126">
        <f t="shared" si="6"/>
        <v>0</v>
      </c>
    </row>
    <row r="57" spans="1:12" ht="15" customHeight="1" x14ac:dyDescent="0.25">
      <c r="A57" s="122"/>
      <c r="B57" s="20"/>
      <c r="C57" s="80"/>
      <c r="D57" s="20"/>
      <c r="E57" s="39"/>
      <c r="F57" s="39"/>
      <c r="G57" s="39"/>
      <c r="H57" s="52"/>
      <c r="I57" s="123">
        <f t="shared" si="3"/>
        <v>0</v>
      </c>
      <c r="J57" s="124">
        <f t="shared" si="4"/>
        <v>0</v>
      </c>
      <c r="K57" s="125">
        <f t="shared" si="5"/>
        <v>0</v>
      </c>
      <c r="L57" s="126">
        <f t="shared" si="6"/>
        <v>0</v>
      </c>
    </row>
    <row r="58" spans="1:12" ht="15" customHeight="1" x14ac:dyDescent="0.25">
      <c r="A58" s="122"/>
      <c r="B58" s="20"/>
      <c r="C58" s="80"/>
      <c r="D58" s="20"/>
      <c r="E58" s="39"/>
      <c r="F58" s="39"/>
      <c r="G58" s="39"/>
      <c r="H58" s="52"/>
      <c r="I58" s="123">
        <f t="shared" si="3"/>
        <v>0</v>
      </c>
      <c r="J58" s="124">
        <f t="shared" si="4"/>
        <v>0</v>
      </c>
      <c r="K58" s="125">
        <f t="shared" si="5"/>
        <v>0</v>
      </c>
      <c r="L58" s="126">
        <f t="shared" si="6"/>
        <v>0</v>
      </c>
    </row>
    <row r="59" spans="1:12" ht="15" customHeight="1" x14ac:dyDescent="0.25">
      <c r="A59" s="122"/>
      <c r="B59" s="20"/>
      <c r="C59" s="80"/>
      <c r="D59" s="20"/>
      <c r="E59" s="39"/>
      <c r="F59" s="39"/>
      <c r="G59" s="39"/>
      <c r="H59" s="52"/>
      <c r="I59" s="123">
        <f t="shared" si="3"/>
        <v>0</v>
      </c>
      <c r="J59" s="124">
        <f t="shared" si="4"/>
        <v>0</v>
      </c>
      <c r="K59" s="125">
        <f t="shared" si="5"/>
        <v>0</v>
      </c>
      <c r="L59" s="126">
        <f t="shared" si="6"/>
        <v>0</v>
      </c>
    </row>
    <row r="60" spans="1:12" ht="15" customHeight="1" x14ac:dyDescent="0.25">
      <c r="A60" s="122"/>
      <c r="B60" s="20"/>
      <c r="C60" s="80"/>
      <c r="D60" s="20"/>
      <c r="E60" s="39"/>
      <c r="F60" s="39"/>
      <c r="G60" s="39"/>
      <c r="H60" s="52"/>
      <c r="I60" s="123">
        <f t="shared" si="3"/>
        <v>0</v>
      </c>
      <c r="J60" s="124">
        <f t="shared" si="4"/>
        <v>0</v>
      </c>
      <c r="K60" s="125">
        <f t="shared" si="5"/>
        <v>0</v>
      </c>
      <c r="L60" s="126">
        <f t="shared" si="6"/>
        <v>0</v>
      </c>
    </row>
    <row r="61" spans="1:12" ht="15" customHeight="1" x14ac:dyDescent="0.25">
      <c r="A61" s="122"/>
      <c r="B61" s="20"/>
      <c r="C61" s="80"/>
      <c r="D61" s="20"/>
      <c r="E61" s="39"/>
      <c r="F61" s="39"/>
      <c r="G61" s="39"/>
      <c r="H61" s="52"/>
      <c r="I61" s="123">
        <f t="shared" si="3"/>
        <v>0</v>
      </c>
      <c r="J61" s="124">
        <f t="shared" si="4"/>
        <v>0</v>
      </c>
      <c r="K61" s="125">
        <f t="shared" si="5"/>
        <v>0</v>
      </c>
      <c r="L61" s="126">
        <f t="shared" si="6"/>
        <v>0</v>
      </c>
    </row>
    <row r="62" spans="1:12" ht="15" customHeight="1" x14ac:dyDescent="0.25">
      <c r="A62" s="122"/>
      <c r="B62" s="20"/>
      <c r="C62" s="80"/>
      <c r="D62" s="20"/>
      <c r="E62" s="39"/>
      <c r="F62" s="39"/>
      <c r="G62" s="39"/>
      <c r="H62" s="52"/>
      <c r="I62" s="123">
        <f t="shared" si="3"/>
        <v>0</v>
      </c>
      <c r="J62" s="124">
        <f t="shared" si="4"/>
        <v>0</v>
      </c>
      <c r="K62" s="125">
        <f t="shared" si="5"/>
        <v>0</v>
      </c>
      <c r="L62" s="126">
        <f t="shared" si="6"/>
        <v>0</v>
      </c>
    </row>
    <row r="63" spans="1:12" ht="15" customHeight="1" x14ac:dyDescent="0.25">
      <c r="A63" s="122"/>
      <c r="B63" s="20"/>
      <c r="C63" s="80"/>
      <c r="D63" s="20"/>
      <c r="E63" s="39"/>
      <c r="F63" s="39"/>
      <c r="G63" s="39"/>
      <c r="H63" s="52"/>
      <c r="I63" s="123">
        <f t="shared" si="3"/>
        <v>0</v>
      </c>
      <c r="J63" s="124">
        <f t="shared" si="4"/>
        <v>0</v>
      </c>
      <c r="K63" s="125">
        <f t="shared" si="5"/>
        <v>0</v>
      </c>
      <c r="L63" s="126">
        <f t="shared" si="6"/>
        <v>0</v>
      </c>
    </row>
    <row r="64" spans="1:12" ht="15" customHeight="1" x14ac:dyDescent="0.25">
      <c r="A64" s="122"/>
      <c r="B64" s="20"/>
      <c r="C64" s="80"/>
      <c r="D64" s="20"/>
      <c r="E64" s="39"/>
      <c r="F64" s="39"/>
      <c r="G64" s="39"/>
      <c r="H64" s="52"/>
      <c r="I64" s="123">
        <f t="shared" si="3"/>
        <v>0</v>
      </c>
      <c r="J64" s="124">
        <f t="shared" si="4"/>
        <v>0</v>
      </c>
      <c r="K64" s="125">
        <f t="shared" si="5"/>
        <v>0</v>
      </c>
      <c r="L64" s="126">
        <f t="shared" si="6"/>
        <v>0</v>
      </c>
    </row>
    <row r="65" spans="1:12" ht="15" customHeight="1" x14ac:dyDescent="0.25">
      <c r="A65" s="122"/>
      <c r="B65" s="20"/>
      <c r="C65" s="80"/>
      <c r="D65" s="20"/>
      <c r="E65" s="39"/>
      <c r="F65" s="39"/>
      <c r="G65" s="39"/>
      <c r="H65" s="52"/>
      <c r="I65" s="123">
        <f t="shared" si="3"/>
        <v>0</v>
      </c>
      <c r="J65" s="124">
        <f t="shared" si="4"/>
        <v>0</v>
      </c>
      <c r="K65" s="125">
        <f t="shared" si="5"/>
        <v>0</v>
      </c>
      <c r="L65" s="126">
        <f t="shared" si="6"/>
        <v>0</v>
      </c>
    </row>
    <row r="66" spans="1:12" ht="15" customHeight="1" x14ac:dyDescent="0.25">
      <c r="A66" s="122"/>
      <c r="B66" s="20"/>
      <c r="C66" s="80"/>
      <c r="D66" s="20"/>
      <c r="E66" s="39"/>
      <c r="F66" s="39"/>
      <c r="G66" s="39"/>
      <c r="H66" s="52"/>
      <c r="I66" s="123">
        <f t="shared" si="3"/>
        <v>0</v>
      </c>
      <c r="J66" s="124">
        <f t="shared" si="4"/>
        <v>0</v>
      </c>
      <c r="K66" s="125">
        <f t="shared" si="5"/>
        <v>0</v>
      </c>
      <c r="L66" s="126">
        <f t="shared" si="6"/>
        <v>0</v>
      </c>
    </row>
    <row r="67" spans="1:12" ht="15" customHeight="1" x14ac:dyDescent="0.25">
      <c r="A67" s="122"/>
      <c r="B67" s="20"/>
      <c r="C67" s="80"/>
      <c r="D67" s="20"/>
      <c r="E67" s="39"/>
      <c r="F67" s="39"/>
      <c r="G67" s="39"/>
      <c r="H67" s="52"/>
      <c r="I67" s="123">
        <f t="shared" si="3"/>
        <v>0</v>
      </c>
      <c r="J67" s="124">
        <f t="shared" si="4"/>
        <v>0</v>
      </c>
      <c r="K67" s="125">
        <f t="shared" si="5"/>
        <v>0</v>
      </c>
      <c r="L67" s="126">
        <f t="shared" si="6"/>
        <v>0</v>
      </c>
    </row>
    <row r="68" spans="1:12" ht="15" customHeight="1" x14ac:dyDescent="0.25">
      <c r="A68" s="122"/>
      <c r="B68" s="20"/>
      <c r="C68" s="80"/>
      <c r="D68" s="20"/>
      <c r="E68" s="39"/>
      <c r="F68" s="39"/>
      <c r="G68" s="39"/>
      <c r="H68" s="52"/>
      <c r="I68" s="123">
        <f t="shared" si="3"/>
        <v>0</v>
      </c>
      <c r="J68" s="124">
        <f t="shared" si="4"/>
        <v>0</v>
      </c>
      <c r="K68" s="125">
        <f t="shared" si="5"/>
        <v>0</v>
      </c>
      <c r="L68" s="126">
        <f t="shared" si="6"/>
        <v>0</v>
      </c>
    </row>
    <row r="69" spans="1:12" ht="15" customHeight="1" x14ac:dyDescent="0.25">
      <c r="A69" s="122"/>
      <c r="B69" s="20"/>
      <c r="C69" s="127" t="s">
        <v>42</v>
      </c>
      <c r="D69" s="49"/>
      <c r="E69" s="39"/>
      <c r="F69" s="39"/>
      <c r="G69" s="39"/>
      <c r="H69" s="128"/>
      <c r="I69" s="35">
        <f>SUM(I51:I68)</f>
        <v>0</v>
      </c>
      <c r="J69" s="35">
        <f>SUM(J51:J68)</f>
        <v>0</v>
      </c>
      <c r="K69" s="35"/>
      <c r="L69" s="129">
        <f>SUM(L51:L68)</f>
        <v>0</v>
      </c>
    </row>
    <row r="70" spans="1:12" ht="15" customHeight="1" x14ac:dyDescent="0.25">
      <c r="A70" s="130"/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2"/>
    </row>
    <row r="71" spans="1:12" ht="15" customHeight="1" x14ac:dyDescent="0.25">
      <c r="A71" s="99"/>
      <c r="B71" s="56"/>
      <c r="C71" s="133"/>
      <c r="D71" s="127" t="s">
        <v>153</v>
      </c>
      <c r="E71" s="49"/>
      <c r="F71" s="49"/>
      <c r="G71" s="49"/>
      <c r="H71" s="49"/>
      <c r="I71" s="114"/>
      <c r="J71" s="133"/>
      <c r="K71" s="133"/>
      <c r="L71" s="134"/>
    </row>
    <row r="72" spans="1:12" ht="15" customHeight="1" x14ac:dyDescent="0.25">
      <c r="A72" s="99"/>
      <c r="B72" s="56"/>
      <c r="C72" s="133"/>
      <c r="D72" s="127" t="s">
        <v>19</v>
      </c>
      <c r="E72" s="135"/>
      <c r="F72" s="35"/>
      <c r="G72" s="35"/>
      <c r="H72" s="35" t="s">
        <v>38</v>
      </c>
      <c r="I72" s="35"/>
      <c r="J72" s="133"/>
      <c r="K72" s="133"/>
      <c r="L72" s="134"/>
    </row>
    <row r="73" spans="1:12" ht="15" customHeight="1" x14ac:dyDescent="0.25">
      <c r="A73" s="99"/>
      <c r="B73" s="56"/>
      <c r="C73" s="133"/>
      <c r="D73" s="136" t="s">
        <v>137</v>
      </c>
      <c r="E73" s="137"/>
      <c r="F73" s="96"/>
      <c r="G73" s="96"/>
      <c r="H73" s="35">
        <f>I69</f>
        <v>0</v>
      </c>
      <c r="I73" s="35"/>
      <c r="J73" s="133"/>
    </row>
    <row r="74" spans="1:12" ht="15" customHeight="1" x14ac:dyDescent="0.25">
      <c r="A74" s="99"/>
      <c r="B74" s="56"/>
      <c r="C74" s="133"/>
      <c r="D74" s="136" t="s">
        <v>138</v>
      </c>
      <c r="E74" s="137"/>
      <c r="F74" s="96"/>
      <c r="G74" s="96"/>
      <c r="H74" s="35">
        <f>J69</f>
        <v>0</v>
      </c>
      <c r="I74" s="35"/>
      <c r="J74" s="133"/>
      <c r="K74" s="133"/>
      <c r="L74" s="134"/>
    </row>
    <row r="75" spans="1:12" ht="15" customHeight="1" x14ac:dyDescent="0.25">
      <c r="A75" s="99"/>
      <c r="B75" s="56"/>
      <c r="C75" s="133"/>
      <c r="D75" s="127" t="s">
        <v>147</v>
      </c>
      <c r="E75" s="135"/>
      <c r="F75" s="35"/>
      <c r="G75" s="35"/>
      <c r="H75" s="35">
        <f>H73+H74</f>
        <v>0</v>
      </c>
      <c r="I75" s="35"/>
      <c r="J75" s="133"/>
      <c r="K75" s="133"/>
      <c r="L75" s="134"/>
    </row>
    <row r="76" spans="1:12" ht="15" customHeight="1" x14ac:dyDescent="0.25">
      <c r="A76" s="138"/>
      <c r="B76" s="65"/>
      <c r="C76" s="65"/>
      <c r="D76" s="56"/>
      <c r="E76" s="56"/>
      <c r="F76" s="56"/>
      <c r="G76" s="56"/>
      <c r="H76" s="56"/>
      <c r="I76" s="65"/>
      <c r="J76" s="65"/>
      <c r="K76" s="65"/>
      <c r="L76" s="139"/>
    </row>
    <row r="77" spans="1:12" ht="15" customHeight="1" thickBot="1" x14ac:dyDescent="0.3">
      <c r="A77" s="140"/>
      <c r="B77" s="105"/>
      <c r="C77" s="105"/>
      <c r="D77" s="106"/>
      <c r="E77" s="106"/>
      <c r="F77" s="106"/>
      <c r="G77" s="106"/>
      <c r="H77" s="106"/>
      <c r="I77" s="105"/>
      <c r="J77" s="105"/>
      <c r="K77" s="105"/>
      <c r="L77" s="141"/>
    </row>
    <row r="78" spans="1:12" ht="15" customHeight="1" thickTop="1" x14ac:dyDescent="0.25">
      <c r="A78" s="109" t="s">
        <v>51</v>
      </c>
      <c r="B78" s="257" t="s">
        <v>266</v>
      </c>
      <c r="C78" s="258"/>
      <c r="D78" s="258"/>
      <c r="E78" s="258"/>
      <c r="F78" s="258"/>
      <c r="G78" s="258"/>
      <c r="H78" s="258"/>
      <c r="I78" s="258"/>
      <c r="J78" s="258"/>
      <c r="K78" s="258"/>
      <c r="L78" s="259"/>
    </row>
    <row r="79" spans="1:12" ht="15" customHeight="1" x14ac:dyDescent="0.25">
      <c r="A79" s="34" t="s">
        <v>44</v>
      </c>
      <c r="B79" s="35"/>
      <c r="C79" s="127" t="s">
        <v>19</v>
      </c>
      <c r="D79" s="135"/>
      <c r="E79" s="35" t="s">
        <v>30</v>
      </c>
      <c r="F79" s="35" t="s">
        <v>120</v>
      </c>
      <c r="G79" s="35" t="s">
        <v>155</v>
      </c>
      <c r="H79" s="35" t="s">
        <v>191</v>
      </c>
      <c r="I79" s="35" t="s">
        <v>188</v>
      </c>
      <c r="J79" s="35" t="s">
        <v>37</v>
      </c>
      <c r="K79" s="35" t="s">
        <v>38</v>
      </c>
      <c r="L79" s="129" t="s">
        <v>22</v>
      </c>
    </row>
    <row r="80" spans="1:12" ht="15" customHeight="1" x14ac:dyDescent="0.25">
      <c r="A80" s="142" t="s">
        <v>23</v>
      </c>
      <c r="B80" s="143" t="s">
        <v>23</v>
      </c>
      <c r="C80" s="136" t="s">
        <v>318</v>
      </c>
      <c r="D80" s="20"/>
      <c r="E80" s="144"/>
      <c r="F80" s="39">
        <f t="shared" ref="F80:F127" si="7">$L$5</f>
        <v>13.331285196019252</v>
      </c>
      <c r="G80" s="39">
        <f>F80*E80</f>
        <v>0</v>
      </c>
      <c r="H80" s="39"/>
      <c r="I80" s="39"/>
      <c r="J80" s="39">
        <f t="shared" ref="J80:J91" si="8">H80+I80</f>
        <v>0</v>
      </c>
      <c r="K80" s="39">
        <f t="shared" ref="K80:K91" si="9">J80*G80</f>
        <v>0</v>
      </c>
      <c r="L80" s="145"/>
    </row>
    <row r="81" spans="1:12" ht="15" customHeight="1" x14ac:dyDescent="0.25">
      <c r="A81" s="142"/>
      <c r="B81" s="146"/>
      <c r="C81" s="80" t="s">
        <v>360</v>
      </c>
      <c r="D81" s="20"/>
      <c r="E81" s="144">
        <f>1*$L$7</f>
        <v>1</v>
      </c>
      <c r="F81" s="39">
        <f t="shared" si="7"/>
        <v>13.331285196019252</v>
      </c>
      <c r="G81" s="39">
        <f>F81*E81</f>
        <v>13.331285196019252</v>
      </c>
      <c r="H81" s="39">
        <v>25000</v>
      </c>
      <c r="I81" s="39"/>
      <c r="J81" s="39">
        <f>H81+I81</f>
        <v>25000</v>
      </c>
      <c r="K81" s="39">
        <f>J81*G81</f>
        <v>333282.12990048132</v>
      </c>
      <c r="L81" s="145"/>
    </row>
    <row r="82" spans="1:12" ht="15" customHeight="1" x14ac:dyDescent="0.25">
      <c r="A82" s="142"/>
      <c r="B82" s="146"/>
      <c r="C82" s="80" t="s">
        <v>16</v>
      </c>
      <c r="D82" s="147"/>
      <c r="E82" s="144">
        <f>1*$L$7</f>
        <v>1</v>
      </c>
      <c r="F82" s="39">
        <f t="shared" si="7"/>
        <v>13.331285196019252</v>
      </c>
      <c r="G82" s="39">
        <f t="shared" ref="G82:G127" si="10">F82*E82</f>
        <v>13.331285196019252</v>
      </c>
      <c r="H82" s="39">
        <f>12025*1.2</f>
        <v>14430</v>
      </c>
      <c r="I82" s="39"/>
      <c r="J82" s="39">
        <f t="shared" si="8"/>
        <v>14430</v>
      </c>
      <c r="K82" s="39">
        <f t="shared" si="9"/>
        <v>192370.44537855781</v>
      </c>
      <c r="L82" s="145"/>
    </row>
    <row r="83" spans="1:12" ht="15" customHeight="1" x14ac:dyDescent="0.25">
      <c r="A83" s="142"/>
      <c r="B83" s="146"/>
      <c r="C83" s="80" t="s">
        <v>15</v>
      </c>
      <c r="D83" s="147"/>
      <c r="E83" s="144">
        <f>1*$L$7</f>
        <v>1</v>
      </c>
      <c r="F83" s="39">
        <f t="shared" si="7"/>
        <v>13.331285196019252</v>
      </c>
      <c r="G83" s="39">
        <f t="shared" si="10"/>
        <v>13.331285196019252</v>
      </c>
      <c r="H83" s="39">
        <f>12774*1.2</f>
        <v>15328.8</v>
      </c>
      <c r="I83" s="39"/>
      <c r="J83" s="39">
        <f t="shared" si="8"/>
        <v>15328.8</v>
      </c>
      <c r="K83" s="39">
        <f t="shared" si="9"/>
        <v>204352.6045127399</v>
      </c>
      <c r="L83" s="145"/>
    </row>
    <row r="84" spans="1:12" ht="15" customHeight="1" x14ac:dyDescent="0.25">
      <c r="A84" s="142"/>
      <c r="B84" s="146"/>
      <c r="C84" s="80" t="s">
        <v>47</v>
      </c>
      <c r="D84" s="147"/>
      <c r="E84" s="144"/>
      <c r="F84" s="39">
        <f t="shared" si="7"/>
        <v>13.331285196019252</v>
      </c>
      <c r="G84" s="39">
        <f t="shared" si="10"/>
        <v>0</v>
      </c>
      <c r="H84" s="39"/>
      <c r="I84" s="39"/>
      <c r="J84" s="39">
        <f t="shared" si="8"/>
        <v>0</v>
      </c>
      <c r="K84" s="39">
        <f t="shared" si="9"/>
        <v>0</v>
      </c>
      <c r="L84" s="145"/>
    </row>
    <row r="85" spans="1:12" ht="15" customHeight="1" x14ac:dyDescent="0.25">
      <c r="A85" s="142"/>
      <c r="B85" s="146"/>
      <c r="C85" s="80" t="s">
        <v>355</v>
      </c>
      <c r="D85" s="147"/>
      <c r="E85" s="144"/>
      <c r="F85" s="39">
        <f t="shared" si="7"/>
        <v>13.331285196019252</v>
      </c>
      <c r="G85" s="39">
        <f t="shared" si="10"/>
        <v>0</v>
      </c>
      <c r="H85" s="39"/>
      <c r="I85" s="148"/>
      <c r="J85" s="39">
        <f t="shared" si="8"/>
        <v>0</v>
      </c>
      <c r="K85" s="39">
        <f t="shared" si="9"/>
        <v>0</v>
      </c>
      <c r="L85" s="145"/>
    </row>
    <row r="86" spans="1:12" ht="15" customHeight="1" x14ac:dyDescent="0.25">
      <c r="A86" s="142"/>
      <c r="B86" s="146"/>
      <c r="C86" s="80" t="s">
        <v>356</v>
      </c>
      <c r="D86" s="147"/>
      <c r="E86" s="144"/>
      <c r="F86" s="39">
        <f t="shared" si="7"/>
        <v>13.331285196019252</v>
      </c>
      <c r="G86" s="39">
        <f t="shared" si="10"/>
        <v>0</v>
      </c>
      <c r="H86" s="39"/>
      <c r="I86" s="39"/>
      <c r="J86" s="39">
        <f t="shared" si="8"/>
        <v>0</v>
      </c>
      <c r="K86" s="39">
        <f t="shared" si="9"/>
        <v>0</v>
      </c>
      <c r="L86" s="145"/>
    </row>
    <row r="87" spans="1:12" ht="15" customHeight="1" x14ac:dyDescent="0.25">
      <c r="A87" s="142"/>
      <c r="B87" s="146"/>
      <c r="C87" s="80" t="s">
        <v>242</v>
      </c>
      <c r="D87" s="147"/>
      <c r="E87" s="144"/>
      <c r="F87" s="39">
        <f t="shared" si="7"/>
        <v>13.331285196019252</v>
      </c>
      <c r="G87" s="39">
        <f t="shared" si="10"/>
        <v>0</v>
      </c>
      <c r="H87" s="24"/>
      <c r="I87" s="39"/>
      <c r="J87" s="39">
        <f t="shared" si="8"/>
        <v>0</v>
      </c>
      <c r="K87" s="39">
        <f t="shared" si="9"/>
        <v>0</v>
      </c>
      <c r="L87" s="145"/>
    </row>
    <row r="88" spans="1:12" ht="15" customHeight="1" x14ac:dyDescent="0.25">
      <c r="A88" s="142"/>
      <c r="B88" s="146"/>
      <c r="C88" s="80" t="s">
        <v>315</v>
      </c>
      <c r="D88" s="20"/>
      <c r="E88" s="144"/>
      <c r="F88" s="39">
        <f t="shared" si="7"/>
        <v>13.331285196019252</v>
      </c>
      <c r="G88" s="39">
        <f t="shared" si="10"/>
        <v>0</v>
      </c>
      <c r="I88" s="39"/>
      <c r="J88" s="39">
        <f t="shared" si="8"/>
        <v>0</v>
      </c>
      <c r="K88" s="39">
        <f t="shared" si="9"/>
        <v>0</v>
      </c>
      <c r="L88" s="145"/>
    </row>
    <row r="89" spans="1:12" ht="15" customHeight="1" x14ac:dyDescent="0.25">
      <c r="A89" s="142"/>
      <c r="B89" s="146"/>
      <c r="C89" s="80" t="s">
        <v>316</v>
      </c>
      <c r="D89" s="147"/>
      <c r="E89" s="144"/>
      <c r="F89" s="39">
        <f t="shared" si="7"/>
        <v>13.331285196019252</v>
      </c>
      <c r="G89" s="39">
        <f t="shared" si="10"/>
        <v>0</v>
      </c>
      <c r="H89" s="39"/>
      <c r="I89" s="39"/>
      <c r="J89" s="39">
        <f t="shared" si="8"/>
        <v>0</v>
      </c>
      <c r="K89" s="39">
        <f t="shared" si="9"/>
        <v>0</v>
      </c>
      <c r="L89" s="145"/>
    </row>
    <row r="90" spans="1:12" ht="15" customHeight="1" x14ac:dyDescent="0.25">
      <c r="A90" s="142"/>
      <c r="B90" s="146"/>
      <c r="C90" s="80" t="s">
        <v>243</v>
      </c>
      <c r="D90" s="147"/>
      <c r="E90" s="144"/>
      <c r="F90" s="39">
        <f t="shared" si="7"/>
        <v>13.331285196019252</v>
      </c>
      <c r="G90" s="39">
        <f t="shared" si="10"/>
        <v>0</v>
      </c>
      <c r="H90" s="39"/>
      <c r="I90" s="39"/>
      <c r="J90" s="39">
        <f t="shared" si="8"/>
        <v>0</v>
      </c>
      <c r="K90" s="39">
        <f t="shared" si="9"/>
        <v>0</v>
      </c>
      <c r="L90" s="145"/>
    </row>
    <row r="91" spans="1:12" ht="15" customHeight="1" x14ac:dyDescent="0.25">
      <c r="A91" s="142"/>
      <c r="B91" s="146"/>
      <c r="C91" s="80" t="s">
        <v>246</v>
      </c>
      <c r="D91" s="147"/>
      <c r="E91" s="144"/>
      <c r="F91" s="39">
        <f t="shared" si="7"/>
        <v>13.331285196019252</v>
      </c>
      <c r="G91" s="39">
        <f t="shared" si="10"/>
        <v>0</v>
      </c>
      <c r="H91" s="39"/>
      <c r="I91" s="39"/>
      <c r="J91" s="39">
        <f t="shared" si="8"/>
        <v>0</v>
      </c>
      <c r="K91" s="39">
        <f t="shared" si="9"/>
        <v>0</v>
      </c>
      <c r="L91" s="145"/>
    </row>
    <row r="92" spans="1:12" ht="15" customHeight="1" x14ac:dyDescent="0.25">
      <c r="A92" s="142"/>
      <c r="B92" s="146"/>
      <c r="C92" s="80" t="s">
        <v>317</v>
      </c>
      <c r="D92" s="147"/>
      <c r="E92" s="144"/>
      <c r="F92" s="39">
        <f t="shared" si="7"/>
        <v>13.331285196019252</v>
      </c>
      <c r="G92" s="39">
        <f t="shared" si="10"/>
        <v>0</v>
      </c>
      <c r="H92" s="39"/>
      <c r="I92" s="39"/>
      <c r="J92" s="39">
        <f>H92+I92</f>
        <v>0</v>
      </c>
      <c r="K92" s="39">
        <f>J92*G92</f>
        <v>0</v>
      </c>
      <c r="L92" s="145"/>
    </row>
    <row r="93" spans="1:12" ht="15" customHeight="1" x14ac:dyDescent="0.25">
      <c r="A93" s="142"/>
      <c r="B93" s="146"/>
      <c r="C93" s="80" t="s">
        <v>41</v>
      </c>
      <c r="D93" s="147"/>
      <c r="E93" s="144"/>
      <c r="F93" s="39">
        <f t="shared" si="7"/>
        <v>13.331285196019252</v>
      </c>
      <c r="G93" s="39">
        <f t="shared" si="10"/>
        <v>0</v>
      </c>
      <c r="H93" s="39"/>
      <c r="I93" s="39"/>
      <c r="J93" s="39">
        <f>H93+I93</f>
        <v>0</v>
      </c>
      <c r="K93" s="39">
        <f>J93*G93</f>
        <v>0</v>
      </c>
      <c r="L93" s="145"/>
    </row>
    <row r="94" spans="1:12" ht="15" customHeight="1" x14ac:dyDescent="0.25">
      <c r="A94" s="142"/>
      <c r="B94" s="146"/>
      <c r="C94" s="80"/>
      <c r="D94" s="147"/>
      <c r="E94" s="144"/>
      <c r="F94" s="39">
        <f t="shared" si="7"/>
        <v>13.331285196019252</v>
      </c>
      <c r="G94" s="39">
        <f>F94*E94</f>
        <v>0</v>
      </c>
      <c r="H94" s="39"/>
      <c r="I94" s="39"/>
      <c r="J94" s="39">
        <f>H94+I94</f>
        <v>0</v>
      </c>
      <c r="K94" s="39">
        <f>J94*G94</f>
        <v>0</v>
      </c>
      <c r="L94" s="145"/>
    </row>
    <row r="95" spans="1:12" ht="15" customHeight="1" x14ac:dyDescent="0.25">
      <c r="A95" s="142" t="s">
        <v>24</v>
      </c>
      <c r="B95" s="143" t="s">
        <v>24</v>
      </c>
      <c r="C95" s="136" t="s">
        <v>46</v>
      </c>
      <c r="D95" s="20"/>
      <c r="E95" s="144"/>
      <c r="F95" s="39">
        <f t="shared" si="7"/>
        <v>13.331285196019252</v>
      </c>
      <c r="G95" s="39">
        <f t="shared" si="10"/>
        <v>0</v>
      </c>
      <c r="H95" s="39"/>
      <c r="I95" s="39"/>
      <c r="J95" s="39">
        <f>H95+I95</f>
        <v>0</v>
      </c>
      <c r="K95" s="39">
        <f>J95*G95</f>
        <v>0</v>
      </c>
      <c r="L95" s="145"/>
    </row>
    <row r="96" spans="1:12" ht="15" customHeight="1" x14ac:dyDescent="0.25">
      <c r="A96" s="142"/>
      <c r="B96" s="146"/>
      <c r="C96" s="80" t="s">
        <v>47</v>
      </c>
      <c r="D96" s="147"/>
      <c r="E96" s="144"/>
      <c r="F96" s="39">
        <f t="shared" si="7"/>
        <v>13.331285196019252</v>
      </c>
      <c r="G96" s="39">
        <f t="shared" si="10"/>
        <v>0</v>
      </c>
      <c r="H96" s="39"/>
      <c r="I96" s="39"/>
      <c r="J96" s="39">
        <f>H96+I96</f>
        <v>0</v>
      </c>
      <c r="K96" s="39">
        <f>J96*G96</f>
        <v>0</v>
      </c>
      <c r="L96" s="145"/>
    </row>
    <row r="97" spans="1:12" ht="15" customHeight="1" x14ac:dyDescent="0.25">
      <c r="A97" s="142"/>
      <c r="B97" s="149"/>
      <c r="C97" s="80" t="s">
        <v>244</v>
      </c>
      <c r="D97" s="20"/>
      <c r="E97" s="144"/>
      <c r="F97" s="39">
        <f t="shared" si="7"/>
        <v>13.331285196019252</v>
      </c>
      <c r="G97" s="39">
        <f t="shared" si="10"/>
        <v>0</v>
      </c>
      <c r="H97" s="39"/>
      <c r="I97" s="39"/>
      <c r="J97" s="39">
        <f t="shared" ref="J97:J108" si="11">H97+I97</f>
        <v>0</v>
      </c>
      <c r="K97" s="39">
        <f t="shared" ref="K97:K108" si="12">J97*G97</f>
        <v>0</v>
      </c>
      <c r="L97" s="145"/>
    </row>
    <row r="98" spans="1:12" ht="15" customHeight="1" x14ac:dyDescent="0.25">
      <c r="A98" s="142"/>
      <c r="B98" s="146"/>
      <c r="C98" s="80" t="s">
        <v>319</v>
      </c>
      <c r="D98" s="20"/>
      <c r="E98" s="144"/>
      <c r="F98" s="39">
        <f t="shared" si="7"/>
        <v>13.331285196019252</v>
      </c>
      <c r="G98" s="39">
        <f t="shared" si="10"/>
        <v>0</v>
      </c>
      <c r="H98" s="39"/>
      <c r="I98" s="39"/>
      <c r="J98" s="39">
        <f t="shared" si="11"/>
        <v>0</v>
      </c>
      <c r="K98" s="39">
        <f t="shared" si="12"/>
        <v>0</v>
      </c>
      <c r="L98" s="145"/>
    </row>
    <row r="99" spans="1:12" ht="15" customHeight="1" x14ac:dyDescent="0.25">
      <c r="A99" s="142"/>
      <c r="B99" s="146"/>
      <c r="C99" s="80" t="s">
        <v>299</v>
      </c>
      <c r="D99" s="147"/>
      <c r="E99" s="144"/>
      <c r="F99" s="39">
        <f t="shared" si="7"/>
        <v>13.331285196019252</v>
      </c>
      <c r="G99" s="39">
        <f t="shared" si="10"/>
        <v>0</v>
      </c>
      <c r="H99" s="39"/>
      <c r="I99" s="39"/>
      <c r="J99" s="39">
        <f t="shared" si="11"/>
        <v>0</v>
      </c>
      <c r="K99" s="39">
        <f t="shared" si="12"/>
        <v>0</v>
      </c>
      <c r="L99" s="145"/>
    </row>
    <row r="100" spans="1:12" ht="15" customHeight="1" x14ac:dyDescent="0.25">
      <c r="A100" s="142"/>
      <c r="B100" s="146"/>
      <c r="C100" s="80" t="s">
        <v>352</v>
      </c>
      <c r="D100" s="20"/>
      <c r="E100" s="144"/>
      <c r="F100" s="39">
        <f t="shared" si="7"/>
        <v>13.331285196019252</v>
      </c>
      <c r="G100" s="39">
        <f t="shared" si="10"/>
        <v>0</v>
      </c>
      <c r="H100" s="39"/>
      <c r="I100" s="39"/>
      <c r="J100" s="39">
        <f t="shared" si="11"/>
        <v>0</v>
      </c>
      <c r="K100" s="39">
        <f t="shared" si="12"/>
        <v>0</v>
      </c>
      <c r="L100" s="145"/>
    </row>
    <row r="101" spans="1:12" ht="15" customHeight="1" x14ac:dyDescent="0.25">
      <c r="A101" s="142"/>
      <c r="B101" s="146"/>
      <c r="C101" s="80" t="s">
        <v>18</v>
      </c>
      <c r="D101" s="20"/>
      <c r="E101" s="144">
        <f>1*$L$7</f>
        <v>1</v>
      </c>
      <c r="F101" s="39">
        <f t="shared" si="7"/>
        <v>13.331285196019252</v>
      </c>
      <c r="G101" s="39">
        <f t="shared" si="10"/>
        <v>13.331285196019252</v>
      </c>
      <c r="H101" s="39">
        <f>381.4*1.2*26</f>
        <v>11899.679999999998</v>
      </c>
      <c r="I101" s="39"/>
      <c r="J101" s="39">
        <f t="shared" si="11"/>
        <v>11899.679999999998</v>
      </c>
      <c r="K101" s="39">
        <f t="shared" si="12"/>
        <v>158638.02782136636</v>
      </c>
      <c r="L101" s="145"/>
    </row>
    <row r="102" spans="1:12" ht="15" customHeight="1" x14ac:dyDescent="0.25">
      <c r="A102" s="142"/>
      <c r="B102" s="146"/>
      <c r="C102" s="80" t="s">
        <v>41</v>
      </c>
      <c r="D102" s="20"/>
      <c r="E102" s="144"/>
      <c r="F102" s="39">
        <f t="shared" si="7"/>
        <v>13.331285196019252</v>
      </c>
      <c r="G102" s="39">
        <f t="shared" si="10"/>
        <v>0</v>
      </c>
      <c r="H102" s="39"/>
      <c r="I102" s="39"/>
      <c r="J102" s="39">
        <f t="shared" si="11"/>
        <v>0</v>
      </c>
      <c r="K102" s="39">
        <f t="shared" si="12"/>
        <v>0</v>
      </c>
      <c r="L102" s="145"/>
    </row>
    <row r="103" spans="1:12" ht="15" customHeight="1" x14ac:dyDescent="0.25">
      <c r="A103" s="142"/>
      <c r="B103" s="146"/>
      <c r="C103" s="80"/>
      <c r="D103" s="20"/>
      <c r="E103" s="144"/>
      <c r="F103" s="39">
        <f t="shared" si="7"/>
        <v>13.331285196019252</v>
      </c>
      <c r="G103" s="39">
        <f t="shared" si="10"/>
        <v>0</v>
      </c>
      <c r="H103" s="39"/>
      <c r="I103" s="39"/>
      <c r="J103" s="39">
        <f t="shared" si="11"/>
        <v>0</v>
      </c>
      <c r="K103" s="39">
        <f t="shared" si="12"/>
        <v>0</v>
      </c>
      <c r="L103" s="145"/>
    </row>
    <row r="104" spans="1:12" ht="15" customHeight="1" x14ac:dyDescent="0.25">
      <c r="A104" s="142" t="s">
        <v>25</v>
      </c>
      <c r="B104" s="146"/>
      <c r="C104" s="136" t="s">
        <v>48</v>
      </c>
      <c r="D104" s="20"/>
      <c r="E104" s="144"/>
      <c r="F104" s="39">
        <f t="shared" si="7"/>
        <v>13.331285196019252</v>
      </c>
      <c r="G104" s="39">
        <f t="shared" si="10"/>
        <v>0</v>
      </c>
      <c r="H104" s="39"/>
      <c r="I104" s="39"/>
      <c r="J104" s="39">
        <f t="shared" si="11"/>
        <v>0</v>
      </c>
      <c r="K104" s="39">
        <f t="shared" si="12"/>
        <v>0</v>
      </c>
      <c r="L104" s="145"/>
    </row>
    <row r="105" spans="1:12" ht="15" customHeight="1" x14ac:dyDescent="0.25">
      <c r="A105" s="142"/>
      <c r="B105" s="146"/>
      <c r="C105" s="80" t="s">
        <v>49</v>
      </c>
      <c r="D105" s="20"/>
      <c r="E105" s="144"/>
      <c r="F105" s="39">
        <f t="shared" si="7"/>
        <v>13.331285196019252</v>
      </c>
      <c r="G105" s="39">
        <f t="shared" si="10"/>
        <v>0</v>
      </c>
      <c r="H105" s="39"/>
      <c r="I105" s="39"/>
      <c r="J105" s="39">
        <f t="shared" si="11"/>
        <v>0</v>
      </c>
      <c r="K105" s="39">
        <f t="shared" si="12"/>
        <v>0</v>
      </c>
      <c r="L105" s="145"/>
    </row>
    <row r="106" spans="1:12" ht="15" customHeight="1" x14ac:dyDescent="0.25">
      <c r="A106" s="142"/>
      <c r="B106" s="146"/>
      <c r="C106" s="80" t="s">
        <v>17</v>
      </c>
      <c r="D106" s="20"/>
      <c r="E106" s="144">
        <f>1*$L$7</f>
        <v>1</v>
      </c>
      <c r="F106" s="39">
        <f t="shared" si="7"/>
        <v>13.331285196019252</v>
      </c>
      <c r="G106" s="39">
        <f t="shared" si="10"/>
        <v>13.331285196019252</v>
      </c>
      <c r="H106" s="39">
        <f>10393*1.2</f>
        <v>12471.6</v>
      </c>
      <c r="I106" s="39"/>
      <c r="J106" s="39">
        <f t="shared" si="11"/>
        <v>12471.6</v>
      </c>
      <c r="K106" s="39">
        <f t="shared" si="12"/>
        <v>166262.45645067369</v>
      </c>
      <c r="L106" s="145"/>
    </row>
    <row r="107" spans="1:12" ht="15" customHeight="1" x14ac:dyDescent="0.25">
      <c r="A107" s="142"/>
      <c r="B107" s="146"/>
      <c r="C107" s="64" t="s">
        <v>11</v>
      </c>
      <c r="D107" s="20"/>
      <c r="E107" s="144">
        <f>1*$L$7</f>
        <v>1</v>
      </c>
      <c r="F107" s="39">
        <f t="shared" si="7"/>
        <v>13.331285196019252</v>
      </c>
      <c r="G107" s="39">
        <f t="shared" si="10"/>
        <v>13.331285196019252</v>
      </c>
      <c r="H107" s="39">
        <f>12774*1.2</f>
        <v>15328.8</v>
      </c>
      <c r="I107" s="39"/>
      <c r="J107" s="39">
        <f t="shared" si="11"/>
        <v>15328.8</v>
      </c>
      <c r="K107" s="39">
        <f t="shared" si="12"/>
        <v>204352.6045127399</v>
      </c>
      <c r="L107" s="145"/>
    </row>
    <row r="108" spans="1:12" ht="15" customHeight="1" x14ac:dyDescent="0.25">
      <c r="A108" s="24"/>
      <c r="B108" s="39"/>
      <c r="C108" s="64" t="s">
        <v>12</v>
      </c>
      <c r="D108" s="20"/>
      <c r="E108" s="144">
        <f>1*$L$7</f>
        <v>1</v>
      </c>
      <c r="F108" s="39">
        <f t="shared" si="7"/>
        <v>13.331285196019252</v>
      </c>
      <c r="G108" s="39">
        <f t="shared" si="10"/>
        <v>13.331285196019252</v>
      </c>
      <c r="H108" s="39">
        <f>12774*1.2</f>
        <v>15328.8</v>
      </c>
      <c r="I108" s="39"/>
      <c r="J108" s="39">
        <f t="shared" si="11"/>
        <v>15328.8</v>
      </c>
      <c r="K108" s="39">
        <f t="shared" si="12"/>
        <v>204352.6045127399</v>
      </c>
      <c r="L108" s="145"/>
    </row>
    <row r="109" spans="1:12" ht="15" customHeight="1" x14ac:dyDescent="0.25">
      <c r="A109" s="24"/>
      <c r="B109" s="39"/>
      <c r="C109" s="64" t="s">
        <v>357</v>
      </c>
      <c r="D109" s="20"/>
      <c r="E109" s="144"/>
      <c r="F109" s="39">
        <f t="shared" si="7"/>
        <v>13.331285196019252</v>
      </c>
      <c r="G109" s="39">
        <f t="shared" si="10"/>
        <v>0</v>
      </c>
      <c r="H109" s="39"/>
      <c r="I109" s="39"/>
      <c r="J109" s="39">
        <f>H109+I109</f>
        <v>0</v>
      </c>
      <c r="K109" s="39">
        <f>J109*G109</f>
        <v>0</v>
      </c>
      <c r="L109" s="145"/>
    </row>
    <row r="110" spans="1:12" ht="15" customHeight="1" x14ac:dyDescent="0.25">
      <c r="A110" s="142"/>
      <c r="B110" s="146"/>
      <c r="C110" s="150" t="s">
        <v>331</v>
      </c>
      <c r="D110" s="151"/>
      <c r="F110" s="39">
        <f t="shared" si="7"/>
        <v>13.331285196019252</v>
      </c>
      <c r="G110" s="39">
        <f t="shared" si="10"/>
        <v>0</v>
      </c>
      <c r="H110" s="39"/>
      <c r="I110" s="39"/>
      <c r="J110" s="39">
        <f>H110+I110</f>
        <v>0</v>
      </c>
      <c r="K110" s="39">
        <f>J110*G110</f>
        <v>0</v>
      </c>
      <c r="L110" s="145"/>
    </row>
    <row r="111" spans="1:12" ht="15" customHeight="1" x14ac:dyDescent="0.25">
      <c r="A111" s="142"/>
      <c r="B111" s="146"/>
      <c r="C111" s="150" t="s">
        <v>332</v>
      </c>
      <c r="D111" s="151"/>
      <c r="E111" s="144"/>
      <c r="F111" s="39">
        <f t="shared" si="7"/>
        <v>13.331285196019252</v>
      </c>
      <c r="G111" s="39">
        <f t="shared" si="10"/>
        <v>0</v>
      </c>
      <c r="H111" s="39"/>
      <c r="I111" s="39"/>
      <c r="J111" s="39">
        <f>H111+I111</f>
        <v>0</v>
      </c>
      <c r="K111" s="39">
        <f>J111*G111</f>
        <v>0</v>
      </c>
      <c r="L111" s="145"/>
    </row>
    <row r="112" spans="1:12" ht="15" customHeight="1" x14ac:dyDescent="0.25">
      <c r="A112" s="142"/>
      <c r="B112" s="146"/>
      <c r="C112" s="64" t="s">
        <v>321</v>
      </c>
      <c r="D112" s="20"/>
      <c r="E112" s="144"/>
      <c r="F112" s="39">
        <f t="shared" si="7"/>
        <v>13.331285196019252</v>
      </c>
      <c r="G112" s="39">
        <f t="shared" si="10"/>
        <v>0</v>
      </c>
      <c r="H112" s="39"/>
      <c r="I112" s="39"/>
      <c r="J112" s="39">
        <f>H112+I112</f>
        <v>0</v>
      </c>
      <c r="K112" s="39">
        <f>J112*G112</f>
        <v>0</v>
      </c>
      <c r="L112" s="145"/>
    </row>
    <row r="113" spans="1:12" ht="15" customHeight="1" x14ac:dyDescent="0.25">
      <c r="A113" s="142"/>
      <c r="B113" s="146"/>
      <c r="C113" s="64" t="s">
        <v>322</v>
      </c>
      <c r="D113" s="20"/>
      <c r="E113" s="144"/>
      <c r="F113" s="39">
        <f t="shared" si="7"/>
        <v>13.331285196019252</v>
      </c>
      <c r="G113" s="39">
        <f t="shared" si="10"/>
        <v>0</v>
      </c>
      <c r="H113" s="39"/>
      <c r="I113" s="39"/>
      <c r="J113" s="39">
        <f>H113+I113</f>
        <v>0</v>
      </c>
      <c r="K113" s="39">
        <f>J113*G113</f>
        <v>0</v>
      </c>
      <c r="L113" s="145"/>
    </row>
    <row r="114" spans="1:12" ht="15" customHeight="1" x14ac:dyDescent="0.25">
      <c r="A114" s="142"/>
      <c r="B114" s="146"/>
      <c r="C114" s="64" t="s">
        <v>320</v>
      </c>
      <c r="D114" s="20"/>
      <c r="E114" s="144"/>
      <c r="F114" s="39">
        <f t="shared" si="7"/>
        <v>13.331285196019252</v>
      </c>
      <c r="G114" s="39">
        <f>F114*E114</f>
        <v>0</v>
      </c>
      <c r="H114" s="39"/>
      <c r="I114" s="39"/>
      <c r="J114" s="39">
        <f t="shared" ref="J114:J127" si="13">H114+I114</f>
        <v>0</v>
      </c>
      <c r="K114" s="39">
        <f t="shared" ref="K114:K127" si="14">J114*G114</f>
        <v>0</v>
      </c>
      <c r="L114" s="145"/>
    </row>
    <row r="115" spans="1:12" ht="15" customHeight="1" x14ac:dyDescent="0.25">
      <c r="A115" s="142"/>
      <c r="B115" s="146"/>
      <c r="C115" s="64" t="s">
        <v>323</v>
      </c>
      <c r="D115" s="20"/>
      <c r="E115" s="144"/>
      <c r="F115" s="39">
        <f t="shared" si="7"/>
        <v>13.331285196019252</v>
      </c>
      <c r="G115" s="39">
        <f>F115*E115</f>
        <v>0</v>
      </c>
      <c r="H115" s="39"/>
      <c r="I115" s="39"/>
      <c r="J115" s="39">
        <f t="shared" si="13"/>
        <v>0</v>
      </c>
      <c r="K115" s="39">
        <f t="shared" si="14"/>
        <v>0</v>
      </c>
      <c r="L115" s="145"/>
    </row>
    <row r="116" spans="1:12" ht="15" customHeight="1" x14ac:dyDescent="0.25">
      <c r="A116" s="142"/>
      <c r="B116" s="146"/>
      <c r="C116" s="64" t="s">
        <v>245</v>
      </c>
      <c r="D116" s="20"/>
      <c r="E116" s="144"/>
      <c r="F116" s="39">
        <f t="shared" si="7"/>
        <v>13.331285196019252</v>
      </c>
      <c r="G116" s="39">
        <f>F116*E116</f>
        <v>0</v>
      </c>
      <c r="H116" s="39"/>
      <c r="I116" s="39"/>
      <c r="J116" s="39">
        <f t="shared" si="13"/>
        <v>0</v>
      </c>
      <c r="K116" s="39">
        <f t="shared" si="14"/>
        <v>0</v>
      </c>
      <c r="L116" s="145"/>
    </row>
    <row r="117" spans="1:12" ht="15" customHeight="1" x14ac:dyDescent="0.25">
      <c r="A117" s="142"/>
      <c r="B117" s="146"/>
      <c r="C117" s="64" t="s">
        <v>324</v>
      </c>
      <c r="D117" s="20"/>
      <c r="E117" s="144"/>
      <c r="F117" s="39">
        <f t="shared" si="7"/>
        <v>13.331285196019252</v>
      </c>
      <c r="G117" s="39">
        <f>F117*E117</f>
        <v>0</v>
      </c>
      <c r="H117" s="39"/>
      <c r="I117" s="39"/>
      <c r="J117" s="39">
        <f t="shared" si="13"/>
        <v>0</v>
      </c>
      <c r="K117" s="39">
        <f t="shared" si="14"/>
        <v>0</v>
      </c>
      <c r="L117" s="145"/>
    </row>
    <row r="118" spans="1:12" ht="15" customHeight="1" x14ac:dyDescent="0.25">
      <c r="A118" s="142"/>
      <c r="B118" s="146"/>
      <c r="C118" s="80" t="s">
        <v>247</v>
      </c>
      <c r="D118" s="20"/>
      <c r="E118" s="144"/>
      <c r="F118" s="39">
        <f t="shared" si="7"/>
        <v>13.331285196019252</v>
      </c>
      <c r="G118" s="39">
        <f t="shared" si="10"/>
        <v>0</v>
      </c>
      <c r="H118" s="39"/>
      <c r="I118" s="39"/>
      <c r="J118" s="39">
        <f t="shared" si="13"/>
        <v>0</v>
      </c>
      <c r="K118" s="39">
        <f t="shared" si="14"/>
        <v>0</v>
      </c>
      <c r="L118" s="145"/>
    </row>
    <row r="119" spans="1:12" ht="15" customHeight="1" x14ac:dyDescent="0.25">
      <c r="A119" s="142"/>
      <c r="B119" s="146"/>
      <c r="C119" s="80" t="s">
        <v>248</v>
      </c>
      <c r="D119" s="20"/>
      <c r="E119" s="144"/>
      <c r="F119" s="39">
        <f t="shared" si="7"/>
        <v>13.331285196019252</v>
      </c>
      <c r="G119" s="39">
        <f t="shared" si="10"/>
        <v>0</v>
      </c>
      <c r="H119" s="39"/>
      <c r="I119" s="39"/>
      <c r="J119" s="39">
        <f t="shared" si="13"/>
        <v>0</v>
      </c>
      <c r="K119" s="39">
        <f t="shared" si="14"/>
        <v>0</v>
      </c>
      <c r="L119" s="145"/>
    </row>
    <row r="120" spans="1:12" ht="15" customHeight="1" x14ac:dyDescent="0.25">
      <c r="A120" s="142"/>
      <c r="B120" s="146"/>
      <c r="C120" s="80" t="s">
        <v>325</v>
      </c>
      <c r="D120" s="20"/>
      <c r="E120" s="144"/>
      <c r="F120" s="39">
        <f t="shared" si="7"/>
        <v>13.331285196019252</v>
      </c>
      <c r="G120" s="39">
        <f t="shared" si="10"/>
        <v>0</v>
      </c>
      <c r="H120" s="39"/>
      <c r="I120" s="39"/>
      <c r="J120" s="39">
        <f t="shared" si="13"/>
        <v>0</v>
      </c>
      <c r="K120" s="39">
        <f t="shared" si="14"/>
        <v>0</v>
      </c>
      <c r="L120" s="145"/>
    </row>
    <row r="121" spans="1:12" ht="15" customHeight="1" x14ac:dyDescent="0.25">
      <c r="A121" s="142"/>
      <c r="B121" s="146"/>
      <c r="C121" s="80" t="s">
        <v>326</v>
      </c>
      <c r="D121" s="20"/>
      <c r="E121" s="144"/>
      <c r="F121" s="39">
        <f t="shared" si="7"/>
        <v>13.331285196019252</v>
      </c>
      <c r="G121" s="39">
        <f t="shared" si="10"/>
        <v>0</v>
      </c>
      <c r="H121" s="39"/>
      <c r="I121" s="39"/>
      <c r="J121" s="39">
        <f t="shared" si="13"/>
        <v>0</v>
      </c>
      <c r="K121" s="39">
        <f t="shared" si="14"/>
        <v>0</v>
      </c>
      <c r="L121" s="145"/>
    </row>
    <row r="122" spans="1:12" ht="15" customHeight="1" x14ac:dyDescent="0.25">
      <c r="A122" s="142"/>
      <c r="B122" s="146"/>
      <c r="C122" s="80" t="s">
        <v>249</v>
      </c>
      <c r="D122" s="147"/>
      <c r="E122" s="144"/>
      <c r="F122" s="39">
        <f t="shared" si="7"/>
        <v>13.331285196019252</v>
      </c>
      <c r="G122" s="39">
        <f t="shared" si="10"/>
        <v>0</v>
      </c>
      <c r="H122" s="39"/>
      <c r="I122" s="39"/>
      <c r="J122" s="39">
        <f t="shared" si="13"/>
        <v>0</v>
      </c>
      <c r="K122" s="39">
        <f t="shared" si="14"/>
        <v>0</v>
      </c>
      <c r="L122" s="145"/>
    </row>
    <row r="123" spans="1:12" ht="15" customHeight="1" x14ac:dyDescent="0.25">
      <c r="A123" s="142"/>
      <c r="B123" s="146"/>
      <c r="C123" s="80" t="s">
        <v>327</v>
      </c>
      <c r="D123" s="147"/>
      <c r="E123" s="144"/>
      <c r="F123" s="39">
        <f t="shared" si="7"/>
        <v>13.331285196019252</v>
      </c>
      <c r="G123" s="39">
        <f t="shared" si="10"/>
        <v>0</v>
      </c>
      <c r="H123" s="39"/>
      <c r="I123" s="39"/>
      <c r="J123" s="39">
        <f t="shared" si="13"/>
        <v>0</v>
      </c>
      <c r="K123" s="39">
        <f t="shared" si="14"/>
        <v>0</v>
      </c>
      <c r="L123" s="145"/>
    </row>
    <row r="124" spans="1:12" ht="15" customHeight="1" x14ac:dyDescent="0.25">
      <c r="A124" s="142"/>
      <c r="B124" s="146"/>
      <c r="C124" s="80" t="s">
        <v>328</v>
      </c>
      <c r="D124" s="147"/>
      <c r="E124" s="144"/>
      <c r="F124" s="39">
        <f t="shared" si="7"/>
        <v>13.331285196019252</v>
      </c>
      <c r="G124" s="39">
        <f t="shared" si="10"/>
        <v>0</v>
      </c>
      <c r="H124" s="39"/>
      <c r="I124" s="39"/>
      <c r="J124" s="39">
        <f t="shared" si="13"/>
        <v>0</v>
      </c>
      <c r="K124" s="39">
        <f t="shared" si="14"/>
        <v>0</v>
      </c>
      <c r="L124" s="145"/>
    </row>
    <row r="125" spans="1:12" ht="15" customHeight="1" x14ac:dyDescent="0.25">
      <c r="A125" s="142"/>
      <c r="B125" s="146"/>
      <c r="C125" s="80" t="s">
        <v>329</v>
      </c>
      <c r="D125" s="147"/>
      <c r="E125" s="144"/>
      <c r="F125" s="39">
        <f t="shared" si="7"/>
        <v>13.331285196019252</v>
      </c>
      <c r="G125" s="39">
        <f t="shared" si="10"/>
        <v>0</v>
      </c>
      <c r="H125" s="39"/>
      <c r="I125" s="39"/>
      <c r="J125" s="39">
        <f t="shared" si="13"/>
        <v>0</v>
      </c>
      <c r="K125" s="39">
        <f t="shared" si="14"/>
        <v>0</v>
      </c>
      <c r="L125" s="145"/>
    </row>
    <row r="126" spans="1:12" ht="15" customHeight="1" x14ac:dyDescent="0.25">
      <c r="A126" s="142"/>
      <c r="B126" s="146"/>
      <c r="C126" s="64" t="s">
        <v>41</v>
      </c>
      <c r="D126" s="20"/>
      <c r="E126" s="144"/>
      <c r="F126" s="39">
        <f t="shared" si="7"/>
        <v>13.331285196019252</v>
      </c>
      <c r="G126" s="39">
        <f t="shared" si="10"/>
        <v>0</v>
      </c>
      <c r="H126" s="39"/>
      <c r="I126" s="39"/>
      <c r="J126" s="39">
        <f t="shared" si="13"/>
        <v>0</v>
      </c>
      <c r="K126" s="39">
        <f t="shared" si="14"/>
        <v>0</v>
      </c>
      <c r="L126" s="145"/>
    </row>
    <row r="127" spans="1:12" ht="15" customHeight="1" x14ac:dyDescent="0.25">
      <c r="A127" s="142"/>
      <c r="B127" s="146"/>
      <c r="C127" s="64"/>
      <c r="D127" s="20"/>
      <c r="E127" s="144"/>
      <c r="F127" s="39">
        <f t="shared" si="7"/>
        <v>13.331285196019252</v>
      </c>
      <c r="G127" s="39">
        <f t="shared" si="10"/>
        <v>0</v>
      </c>
      <c r="H127" s="39"/>
      <c r="I127" s="39"/>
      <c r="J127" s="39">
        <f t="shared" si="13"/>
        <v>0</v>
      </c>
      <c r="K127" s="39">
        <f t="shared" si="14"/>
        <v>0</v>
      </c>
      <c r="L127" s="145"/>
    </row>
    <row r="128" spans="1:12" ht="15" customHeight="1" x14ac:dyDescent="0.25">
      <c r="A128" s="142"/>
      <c r="B128" s="152"/>
      <c r="C128" s="80" t="s">
        <v>42</v>
      </c>
      <c r="D128" s="20"/>
      <c r="E128" s="144">
        <f>SUM(E80:E127)</f>
        <v>7</v>
      </c>
      <c r="F128" s="39"/>
      <c r="G128" s="39"/>
      <c r="H128" s="39"/>
      <c r="I128" s="39"/>
      <c r="J128" s="39"/>
      <c r="K128" s="39"/>
      <c r="L128" s="145"/>
    </row>
    <row r="129" spans="1:13" ht="15" customHeight="1" x14ac:dyDescent="0.25">
      <c r="A129" s="153"/>
      <c r="B129" s="154"/>
      <c r="C129" s="127" t="s">
        <v>151</v>
      </c>
      <c r="D129" s="49"/>
      <c r="E129" s="155"/>
      <c r="F129" s="155"/>
      <c r="G129" s="155"/>
      <c r="H129" s="155"/>
      <c r="I129" s="156"/>
      <c r="J129" s="154">
        <f>SUM(J80:J128)</f>
        <v>109787.68000000001</v>
      </c>
      <c r="K129" s="154">
        <f>SUM(K80:K128)</f>
        <v>1463610.8730892988</v>
      </c>
      <c r="L129" s="98"/>
    </row>
    <row r="130" spans="1:13" ht="15" customHeight="1" x14ac:dyDescent="0.25">
      <c r="A130" s="138"/>
      <c r="B130" s="65"/>
      <c r="C130" s="65"/>
      <c r="D130" s="65"/>
      <c r="E130" s="65"/>
      <c r="F130" s="65"/>
      <c r="G130" s="65"/>
      <c r="H130" s="65"/>
      <c r="I130" s="56"/>
      <c r="J130" s="65"/>
      <c r="K130" s="65"/>
      <c r="L130" s="139"/>
    </row>
    <row r="131" spans="1:13" ht="15" customHeight="1" x14ac:dyDescent="0.25">
      <c r="A131" s="138"/>
      <c r="B131" s="65"/>
      <c r="C131" s="65"/>
      <c r="D131" s="5" t="s">
        <v>142</v>
      </c>
      <c r="E131" s="157"/>
      <c r="F131" s="157"/>
      <c r="G131" s="157"/>
      <c r="H131" s="157"/>
      <c r="I131" s="157"/>
      <c r="J131" s="157"/>
      <c r="K131" s="157"/>
      <c r="L131" s="139"/>
    </row>
    <row r="132" spans="1:13" ht="15" customHeight="1" x14ac:dyDescent="0.25">
      <c r="A132" s="158"/>
      <c r="B132" s="159"/>
      <c r="C132" s="159"/>
      <c r="D132" s="113" t="s">
        <v>19</v>
      </c>
      <c r="E132" s="114"/>
      <c r="F132" s="52" t="s">
        <v>38</v>
      </c>
      <c r="G132" s="160" t="s">
        <v>22</v>
      </c>
      <c r="H132" s="161"/>
      <c r="I132" s="161"/>
      <c r="J132" s="161"/>
      <c r="K132" s="162"/>
      <c r="L132" s="163"/>
    </row>
    <row r="133" spans="1:13" ht="15" customHeight="1" x14ac:dyDescent="0.25">
      <c r="A133" s="138"/>
      <c r="B133" s="65"/>
      <c r="C133" s="65"/>
      <c r="D133" s="80" t="s">
        <v>151</v>
      </c>
      <c r="E133" s="20"/>
      <c r="F133" s="39">
        <f>K129</f>
        <v>1463610.8730892988</v>
      </c>
      <c r="G133" s="164"/>
      <c r="H133" s="165"/>
      <c r="I133" s="165"/>
      <c r="J133" s="165"/>
      <c r="K133" s="148"/>
      <c r="L133" s="139"/>
    </row>
    <row r="134" spans="1:13" ht="15" customHeight="1" x14ac:dyDescent="0.25">
      <c r="A134" s="138"/>
      <c r="B134" s="65"/>
      <c r="C134" s="65"/>
      <c r="D134" s="80" t="s">
        <v>182</v>
      </c>
      <c r="E134" s="20"/>
      <c r="F134" s="39"/>
      <c r="G134" s="164"/>
      <c r="H134" s="165"/>
      <c r="I134" s="165"/>
      <c r="J134" s="165"/>
      <c r="K134" s="148"/>
      <c r="L134" s="139"/>
    </row>
    <row r="135" spans="1:13" ht="15" customHeight="1" x14ac:dyDescent="0.25">
      <c r="A135" s="138"/>
      <c r="B135" s="65"/>
      <c r="C135" s="65"/>
      <c r="D135" s="136" t="s">
        <v>149</v>
      </c>
      <c r="E135" s="20"/>
      <c r="F135" s="96">
        <f>F133+F134</f>
        <v>1463610.8730892988</v>
      </c>
      <c r="G135" s="166"/>
      <c r="H135" s="165"/>
      <c r="I135" s="165"/>
      <c r="J135" s="165"/>
      <c r="K135" s="148"/>
      <c r="L135" s="139"/>
    </row>
    <row r="136" spans="1:13" ht="15" customHeight="1" thickBot="1" x14ac:dyDescent="0.3">
      <c r="A136" s="140"/>
      <c r="B136" s="105"/>
      <c r="C136" s="105"/>
      <c r="D136" s="105"/>
      <c r="E136" s="105"/>
      <c r="F136" s="105"/>
      <c r="G136" s="105"/>
      <c r="H136" s="105"/>
      <c r="I136" s="105"/>
      <c r="J136" s="105"/>
      <c r="K136" s="105"/>
      <c r="L136" s="141"/>
      <c r="M136" s="26"/>
    </row>
    <row r="137" spans="1:13" ht="15" customHeight="1" thickTop="1" x14ac:dyDescent="0.25">
      <c r="A137" s="167" t="s">
        <v>52</v>
      </c>
      <c r="B137" s="260" t="s">
        <v>312</v>
      </c>
      <c r="C137" s="258"/>
      <c r="D137" s="258"/>
      <c r="E137" s="258"/>
      <c r="F137" s="258"/>
      <c r="G137" s="258"/>
      <c r="H137" s="258"/>
      <c r="I137" s="258"/>
      <c r="J137" s="258"/>
      <c r="K137" s="258"/>
      <c r="L137" s="259"/>
    </row>
    <row r="138" spans="1:13" ht="15" customHeight="1" x14ac:dyDescent="0.25">
      <c r="A138" s="34" t="s">
        <v>75</v>
      </c>
      <c r="B138" s="35"/>
      <c r="C138" s="127" t="s">
        <v>19</v>
      </c>
      <c r="D138" s="20"/>
      <c r="E138" s="52" t="s">
        <v>30</v>
      </c>
      <c r="F138" s="35" t="s">
        <v>120</v>
      </c>
      <c r="G138" s="35" t="s">
        <v>155</v>
      </c>
      <c r="H138" s="35" t="s">
        <v>195</v>
      </c>
      <c r="I138" s="35" t="s">
        <v>188</v>
      </c>
      <c r="J138" s="35" t="s">
        <v>37</v>
      </c>
      <c r="K138" s="35" t="s">
        <v>38</v>
      </c>
      <c r="L138" s="129" t="s">
        <v>22</v>
      </c>
    </row>
    <row r="139" spans="1:13" ht="15" customHeight="1" x14ac:dyDescent="0.25">
      <c r="A139" s="168"/>
      <c r="B139" s="35" t="s">
        <v>23</v>
      </c>
      <c r="C139" s="169" t="s">
        <v>250</v>
      </c>
      <c r="D139" s="20"/>
      <c r="E139" s="123"/>
      <c r="F139" s="170"/>
      <c r="G139" s="171"/>
      <c r="H139" s="172"/>
      <c r="I139" s="170"/>
      <c r="J139" s="170"/>
      <c r="K139" s="170"/>
      <c r="L139" s="173"/>
    </row>
    <row r="140" spans="1:13" ht="15" customHeight="1" x14ac:dyDescent="0.25">
      <c r="A140" s="174">
        <v>1</v>
      </c>
      <c r="B140" s="39"/>
      <c r="C140" s="80" t="s">
        <v>251</v>
      </c>
      <c r="D140" s="20"/>
      <c r="E140" s="39"/>
      <c r="F140" s="39">
        <f t="shared" ref="F140:F154" si="15">$L$5</f>
        <v>13.331285196019252</v>
      </c>
      <c r="G140" s="164">
        <f>E140*F140</f>
        <v>0</v>
      </c>
      <c r="H140" s="39">
        <f>265*26</f>
        <v>6890</v>
      </c>
      <c r="I140" s="164"/>
      <c r="J140" s="175">
        <f>H140+I140</f>
        <v>6890</v>
      </c>
      <c r="K140" s="152">
        <f>J140*G140</f>
        <v>0</v>
      </c>
      <c r="L140" s="145"/>
    </row>
    <row r="141" spans="1:13" ht="15" customHeight="1" x14ac:dyDescent="0.25">
      <c r="A141" s="174">
        <v>2</v>
      </c>
      <c r="B141" s="39"/>
      <c r="C141" s="80" t="s">
        <v>253</v>
      </c>
      <c r="D141" s="20"/>
      <c r="E141" s="39"/>
      <c r="F141" s="39">
        <f t="shared" si="15"/>
        <v>13.331285196019252</v>
      </c>
      <c r="G141" s="164">
        <f>E141*F141</f>
        <v>0</v>
      </c>
      <c r="H141" s="39">
        <f t="shared" ref="H141:H154" si="16">265*26</f>
        <v>6890</v>
      </c>
      <c r="I141" s="164"/>
      <c r="J141" s="175">
        <f>H141+I141</f>
        <v>6890</v>
      </c>
      <c r="K141" s="152">
        <f>J141*G141</f>
        <v>0</v>
      </c>
      <c r="L141" s="145"/>
    </row>
    <row r="142" spans="1:13" ht="15" customHeight="1" x14ac:dyDescent="0.25">
      <c r="A142" s="174">
        <v>3</v>
      </c>
      <c r="B142" s="39"/>
      <c r="C142" s="80" t="s">
        <v>254</v>
      </c>
      <c r="D142" s="20"/>
      <c r="E142" s="39"/>
      <c r="F142" s="39">
        <f t="shared" si="15"/>
        <v>13.331285196019252</v>
      </c>
      <c r="G142" s="164">
        <f>E142*F142</f>
        <v>0</v>
      </c>
      <c r="H142" s="39">
        <f t="shared" si="16"/>
        <v>6890</v>
      </c>
      <c r="I142" s="164"/>
      <c r="J142" s="175">
        <f t="shared" ref="J142:J154" si="17">H142+I142</f>
        <v>6890</v>
      </c>
      <c r="K142" s="152">
        <f t="shared" ref="K142:K154" si="18">J142*G142</f>
        <v>0</v>
      </c>
      <c r="L142" s="145"/>
    </row>
    <row r="143" spans="1:13" ht="15" customHeight="1" x14ac:dyDescent="0.25">
      <c r="A143" s="174">
        <v>4</v>
      </c>
      <c r="B143" s="39"/>
      <c r="C143" s="80" t="s">
        <v>255</v>
      </c>
      <c r="D143" s="20"/>
      <c r="E143" s="39"/>
      <c r="F143" s="39">
        <f t="shared" si="15"/>
        <v>13.331285196019252</v>
      </c>
      <c r="G143" s="164">
        <f>E143*F143</f>
        <v>0</v>
      </c>
      <c r="H143" s="39">
        <f t="shared" si="16"/>
        <v>6890</v>
      </c>
      <c r="I143" s="164"/>
      <c r="J143" s="175">
        <f t="shared" si="17"/>
        <v>6890</v>
      </c>
      <c r="K143" s="152">
        <f t="shared" si="18"/>
        <v>0</v>
      </c>
      <c r="L143" s="145"/>
    </row>
    <row r="144" spans="1:13" ht="15" customHeight="1" x14ac:dyDescent="0.25">
      <c r="A144" s="174"/>
      <c r="B144" s="39"/>
      <c r="C144" s="80" t="s">
        <v>256</v>
      </c>
      <c r="D144" s="20"/>
      <c r="E144" s="39"/>
      <c r="F144" s="39">
        <f t="shared" si="15"/>
        <v>13.331285196019252</v>
      </c>
      <c r="G144" s="164">
        <f t="shared" ref="G144:G154" si="19">E144*F144</f>
        <v>0</v>
      </c>
      <c r="H144" s="39">
        <f t="shared" si="16"/>
        <v>6890</v>
      </c>
      <c r="I144" s="164"/>
      <c r="J144" s="175">
        <f t="shared" si="17"/>
        <v>6890</v>
      </c>
      <c r="K144" s="152">
        <f t="shared" si="18"/>
        <v>0</v>
      </c>
      <c r="L144" s="145"/>
    </row>
    <row r="145" spans="1:12" ht="15" customHeight="1" x14ac:dyDescent="0.25">
      <c r="A145" s="174"/>
      <c r="B145" s="39"/>
      <c r="C145" s="80" t="s">
        <v>257</v>
      </c>
      <c r="D145" s="20"/>
      <c r="E145" s="39"/>
      <c r="F145" s="39">
        <f t="shared" si="15"/>
        <v>13.331285196019252</v>
      </c>
      <c r="G145" s="164">
        <f t="shared" si="19"/>
        <v>0</v>
      </c>
      <c r="H145" s="39">
        <f t="shared" si="16"/>
        <v>6890</v>
      </c>
      <c r="I145" s="164"/>
      <c r="J145" s="175">
        <f t="shared" si="17"/>
        <v>6890</v>
      </c>
      <c r="K145" s="152">
        <f t="shared" si="18"/>
        <v>0</v>
      </c>
      <c r="L145" s="145"/>
    </row>
    <row r="146" spans="1:12" ht="15" customHeight="1" x14ac:dyDescent="0.25">
      <c r="A146" s="174"/>
      <c r="B146" s="39"/>
      <c r="C146" s="80" t="s">
        <v>258</v>
      </c>
      <c r="D146" s="20"/>
      <c r="E146" s="39"/>
      <c r="F146" s="39">
        <f t="shared" si="15"/>
        <v>13.331285196019252</v>
      </c>
      <c r="G146" s="164">
        <f t="shared" si="19"/>
        <v>0</v>
      </c>
      <c r="H146" s="39">
        <f t="shared" si="16"/>
        <v>6890</v>
      </c>
      <c r="I146" s="164"/>
      <c r="J146" s="175">
        <f t="shared" si="17"/>
        <v>6890</v>
      </c>
      <c r="K146" s="152">
        <f t="shared" si="18"/>
        <v>0</v>
      </c>
      <c r="L146" s="145"/>
    </row>
    <row r="147" spans="1:12" ht="15" customHeight="1" x14ac:dyDescent="0.25">
      <c r="A147" s="174"/>
      <c r="B147" s="39"/>
      <c r="C147" s="80" t="s">
        <v>259</v>
      </c>
      <c r="D147" s="20"/>
      <c r="E147" s="39"/>
      <c r="F147" s="39">
        <f t="shared" si="15"/>
        <v>13.331285196019252</v>
      </c>
      <c r="G147" s="164">
        <f t="shared" si="19"/>
        <v>0</v>
      </c>
      <c r="H147" s="39">
        <f t="shared" si="16"/>
        <v>6890</v>
      </c>
      <c r="I147" s="164"/>
      <c r="J147" s="175">
        <f t="shared" si="17"/>
        <v>6890</v>
      </c>
      <c r="K147" s="152">
        <f t="shared" si="18"/>
        <v>0</v>
      </c>
      <c r="L147" s="145"/>
    </row>
    <row r="148" spans="1:12" ht="15" customHeight="1" x14ac:dyDescent="0.25">
      <c r="A148" s="174"/>
      <c r="B148" s="39"/>
      <c r="C148" s="80" t="s">
        <v>260</v>
      </c>
      <c r="D148" s="20"/>
      <c r="E148" s="39"/>
      <c r="F148" s="39">
        <f t="shared" si="15"/>
        <v>13.331285196019252</v>
      </c>
      <c r="G148" s="164">
        <f t="shared" si="19"/>
        <v>0</v>
      </c>
      <c r="H148" s="39">
        <f t="shared" si="16"/>
        <v>6890</v>
      </c>
      <c r="I148" s="164"/>
      <c r="J148" s="175">
        <f t="shared" si="17"/>
        <v>6890</v>
      </c>
      <c r="K148" s="152">
        <f t="shared" si="18"/>
        <v>0</v>
      </c>
      <c r="L148" s="145"/>
    </row>
    <row r="149" spans="1:12" ht="15" customHeight="1" x14ac:dyDescent="0.25">
      <c r="A149" s="174"/>
      <c r="B149" s="39"/>
      <c r="C149" s="80" t="s">
        <v>262</v>
      </c>
      <c r="D149" s="20"/>
      <c r="E149" s="39"/>
      <c r="F149" s="39">
        <f t="shared" si="15"/>
        <v>13.331285196019252</v>
      </c>
      <c r="G149" s="164">
        <f t="shared" si="19"/>
        <v>0</v>
      </c>
      <c r="H149" s="39">
        <f t="shared" si="16"/>
        <v>6890</v>
      </c>
      <c r="I149" s="164"/>
      <c r="J149" s="175">
        <f t="shared" si="17"/>
        <v>6890</v>
      </c>
      <c r="K149" s="152">
        <f t="shared" si="18"/>
        <v>0</v>
      </c>
      <c r="L149" s="145"/>
    </row>
    <row r="150" spans="1:12" ht="15" customHeight="1" x14ac:dyDescent="0.25">
      <c r="A150" s="174"/>
      <c r="B150" s="39"/>
      <c r="C150" s="80" t="s">
        <v>261</v>
      </c>
      <c r="D150" s="20"/>
      <c r="E150" s="39"/>
      <c r="F150" s="39">
        <f t="shared" si="15"/>
        <v>13.331285196019252</v>
      </c>
      <c r="G150" s="164">
        <f t="shared" si="19"/>
        <v>0</v>
      </c>
      <c r="H150" s="39">
        <f t="shared" si="16"/>
        <v>6890</v>
      </c>
      <c r="I150" s="164"/>
      <c r="J150" s="175">
        <f t="shared" si="17"/>
        <v>6890</v>
      </c>
      <c r="K150" s="152">
        <f t="shared" si="18"/>
        <v>0</v>
      </c>
      <c r="L150" s="145"/>
    </row>
    <row r="151" spans="1:12" ht="15" customHeight="1" x14ac:dyDescent="0.25">
      <c r="A151" s="174"/>
      <c r="B151" s="39"/>
      <c r="C151" s="80" t="s">
        <v>263</v>
      </c>
      <c r="D151" s="20"/>
      <c r="E151" s="39"/>
      <c r="F151" s="39">
        <f t="shared" si="15"/>
        <v>13.331285196019252</v>
      </c>
      <c r="G151" s="164">
        <f t="shared" si="19"/>
        <v>0</v>
      </c>
      <c r="H151" s="39">
        <f t="shared" si="16"/>
        <v>6890</v>
      </c>
      <c r="I151" s="164"/>
      <c r="J151" s="175">
        <f t="shared" si="17"/>
        <v>6890</v>
      </c>
      <c r="K151" s="152">
        <f t="shared" si="18"/>
        <v>0</v>
      </c>
      <c r="L151" s="145"/>
    </row>
    <row r="152" spans="1:12" ht="15" customHeight="1" x14ac:dyDescent="0.25">
      <c r="A152" s="174"/>
      <c r="B152" s="39"/>
      <c r="C152" s="80" t="s">
        <v>264</v>
      </c>
      <c r="D152" s="20"/>
      <c r="E152" s="39"/>
      <c r="F152" s="39">
        <f t="shared" si="15"/>
        <v>13.331285196019252</v>
      </c>
      <c r="G152" s="164">
        <f t="shared" si="19"/>
        <v>0</v>
      </c>
      <c r="H152" s="39">
        <f t="shared" si="16"/>
        <v>6890</v>
      </c>
      <c r="I152" s="164"/>
      <c r="J152" s="175">
        <f t="shared" si="17"/>
        <v>6890</v>
      </c>
      <c r="K152" s="152">
        <f t="shared" si="18"/>
        <v>0</v>
      </c>
      <c r="L152" s="145"/>
    </row>
    <row r="153" spans="1:12" ht="15" customHeight="1" x14ac:dyDescent="0.25">
      <c r="A153" s="174"/>
      <c r="B153" s="39"/>
      <c r="C153" s="80" t="s">
        <v>41</v>
      </c>
      <c r="D153" s="20"/>
      <c r="E153" s="39"/>
      <c r="F153" s="39">
        <f t="shared" si="15"/>
        <v>13.331285196019252</v>
      </c>
      <c r="G153" s="164">
        <f t="shared" si="19"/>
        <v>0</v>
      </c>
      <c r="H153" s="39">
        <f t="shared" si="16"/>
        <v>6890</v>
      </c>
      <c r="I153" s="164"/>
      <c r="J153" s="175">
        <f t="shared" si="17"/>
        <v>6890</v>
      </c>
      <c r="K153" s="152">
        <f t="shared" si="18"/>
        <v>0</v>
      </c>
      <c r="L153" s="145"/>
    </row>
    <row r="154" spans="1:12" ht="15" customHeight="1" x14ac:dyDescent="0.25">
      <c r="A154" s="174"/>
      <c r="B154" s="39"/>
      <c r="C154" s="80"/>
      <c r="D154" s="20"/>
      <c r="E154" s="39"/>
      <c r="F154" s="39">
        <f t="shared" si="15"/>
        <v>13.331285196019252</v>
      </c>
      <c r="G154" s="164">
        <f t="shared" si="19"/>
        <v>0</v>
      </c>
      <c r="H154" s="39">
        <f t="shared" si="16"/>
        <v>6890</v>
      </c>
      <c r="I154" s="164"/>
      <c r="J154" s="175">
        <f t="shared" si="17"/>
        <v>6890</v>
      </c>
      <c r="K154" s="152">
        <f t="shared" si="18"/>
        <v>0</v>
      </c>
      <c r="L154" s="145"/>
    </row>
    <row r="155" spans="1:12" ht="15" customHeight="1" x14ac:dyDescent="0.25">
      <c r="A155" s="176"/>
      <c r="B155" s="96"/>
      <c r="C155" s="127" t="s">
        <v>35</v>
      </c>
      <c r="D155" s="49"/>
      <c r="E155" s="146">
        <f>SUM(E140:E154)</f>
        <v>0</v>
      </c>
      <c r="F155" s="154"/>
      <c r="G155" s="164"/>
      <c r="H155" s="146"/>
      <c r="I155" s="164"/>
      <c r="J155" s="146"/>
      <c r="K155" s="146">
        <f>SUM(K140:K154)</f>
        <v>0</v>
      </c>
      <c r="L155" s="177"/>
    </row>
    <row r="156" spans="1:12" ht="15" customHeight="1" x14ac:dyDescent="0.25">
      <c r="A156" s="138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139"/>
    </row>
    <row r="157" spans="1:12" ht="15" customHeight="1" x14ac:dyDescent="0.25">
      <c r="A157" s="138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139"/>
    </row>
    <row r="158" spans="1:12" ht="15" customHeight="1" x14ac:dyDescent="0.25">
      <c r="A158" s="138"/>
      <c r="B158" s="65"/>
      <c r="C158" s="65"/>
      <c r="D158" s="127" t="s">
        <v>152</v>
      </c>
      <c r="E158" s="49"/>
      <c r="F158" s="49"/>
      <c r="G158" s="49"/>
      <c r="H158" s="49"/>
      <c r="I158" s="114"/>
      <c r="J158" s="65"/>
      <c r="K158" s="65"/>
      <c r="L158" s="139"/>
    </row>
    <row r="159" spans="1:12" ht="15" customHeight="1" x14ac:dyDescent="0.25">
      <c r="A159" s="138"/>
      <c r="B159" s="65"/>
      <c r="C159" s="65"/>
      <c r="D159" s="127" t="s">
        <v>19</v>
      </c>
      <c r="E159" s="49"/>
      <c r="F159" s="49"/>
      <c r="G159" s="114"/>
      <c r="H159" s="127" t="s">
        <v>38</v>
      </c>
      <c r="I159" s="135"/>
      <c r="J159" s="65"/>
      <c r="K159" s="65"/>
      <c r="L159" s="139"/>
    </row>
    <row r="160" spans="1:12" ht="15" customHeight="1" x14ac:dyDescent="0.25">
      <c r="A160" s="138"/>
      <c r="B160" s="65"/>
      <c r="C160" s="56"/>
      <c r="D160" s="136" t="s">
        <v>139</v>
      </c>
      <c r="E160" s="178"/>
      <c r="F160" s="178"/>
      <c r="G160" s="179"/>
      <c r="H160" s="136">
        <f>K155</f>
        <v>0</v>
      </c>
      <c r="I160" s="137"/>
      <c r="J160" s="65"/>
      <c r="K160" s="65"/>
      <c r="L160" s="139"/>
    </row>
    <row r="161" spans="1:13" ht="15" customHeight="1" x14ac:dyDescent="0.25">
      <c r="A161" s="138"/>
      <c r="B161" s="65"/>
      <c r="C161" s="65"/>
      <c r="D161" s="136"/>
      <c r="E161" s="15"/>
      <c r="F161" s="15"/>
      <c r="G161" s="20"/>
      <c r="H161" s="136"/>
      <c r="I161" s="137"/>
      <c r="J161" s="65"/>
      <c r="K161" s="65"/>
      <c r="L161" s="139"/>
    </row>
    <row r="162" spans="1:13" ht="15" customHeight="1" x14ac:dyDescent="0.25">
      <c r="A162" s="138"/>
      <c r="B162" s="65"/>
      <c r="C162" s="65"/>
      <c r="D162" s="127" t="s">
        <v>148</v>
      </c>
      <c r="E162" s="49"/>
      <c r="F162" s="49"/>
      <c r="G162" s="114"/>
      <c r="H162" s="136">
        <f>H160+H161</f>
        <v>0</v>
      </c>
      <c r="I162" s="137"/>
      <c r="J162" s="65"/>
      <c r="K162" s="65"/>
      <c r="L162" s="139"/>
    </row>
    <row r="163" spans="1:13" ht="15" customHeight="1" thickBot="1" x14ac:dyDescent="0.3">
      <c r="A163" s="140"/>
      <c r="B163" s="105"/>
      <c r="C163" s="105"/>
      <c r="D163" s="105"/>
      <c r="E163" s="105"/>
      <c r="F163" s="105"/>
      <c r="G163" s="105"/>
      <c r="H163" s="105"/>
      <c r="I163" s="105"/>
      <c r="J163" s="105"/>
      <c r="K163" s="105"/>
      <c r="L163" s="141"/>
    </row>
    <row r="164" spans="1:13" ht="15" customHeight="1" thickTop="1" x14ac:dyDescent="0.25">
      <c r="A164" s="109" t="s">
        <v>305</v>
      </c>
      <c r="B164" s="257" t="s">
        <v>267</v>
      </c>
      <c r="C164" s="258"/>
      <c r="D164" s="258"/>
      <c r="E164" s="258"/>
      <c r="F164" s="258"/>
      <c r="G164" s="258"/>
      <c r="H164" s="258"/>
      <c r="I164" s="258"/>
      <c r="J164" s="258"/>
      <c r="K164" s="258"/>
      <c r="L164" s="259"/>
    </row>
    <row r="165" spans="1:13" ht="15" customHeight="1" x14ac:dyDescent="0.25">
      <c r="A165" s="142" t="s">
        <v>44</v>
      </c>
      <c r="B165" s="146"/>
      <c r="C165" s="39" t="s">
        <v>19</v>
      </c>
      <c r="D165" s="23" t="s">
        <v>279</v>
      </c>
      <c r="E165" s="39" t="s">
        <v>30</v>
      </c>
      <c r="F165" s="39" t="s">
        <v>53</v>
      </c>
      <c r="G165" s="39" t="s">
        <v>54</v>
      </c>
      <c r="H165" s="39" t="s">
        <v>123</v>
      </c>
      <c r="I165" s="39" t="s">
        <v>55</v>
      </c>
      <c r="J165" s="39" t="s">
        <v>56</v>
      </c>
      <c r="K165" s="164"/>
      <c r="L165" s="73" t="s">
        <v>193</v>
      </c>
    </row>
    <row r="166" spans="1:13" ht="15" customHeight="1" x14ac:dyDescent="0.25">
      <c r="A166" s="37" t="s">
        <v>23</v>
      </c>
      <c r="B166" s="52" t="s">
        <v>23</v>
      </c>
      <c r="C166" s="180" t="s">
        <v>231</v>
      </c>
      <c r="D166" s="172"/>
      <c r="E166" s="52"/>
      <c r="F166" s="52"/>
      <c r="G166" s="39"/>
      <c r="H166" s="39"/>
      <c r="I166" s="39"/>
      <c r="J166" s="39"/>
      <c r="K166" s="164"/>
      <c r="L166" s="73"/>
    </row>
    <row r="167" spans="1:13" ht="15" customHeight="1" x14ac:dyDescent="0.25">
      <c r="A167" s="142">
        <v>1</v>
      </c>
      <c r="B167" s="146"/>
      <c r="C167" s="39" t="s">
        <v>268</v>
      </c>
      <c r="D167" s="39"/>
      <c r="E167" s="39"/>
      <c r="F167" s="39"/>
      <c r="G167" s="39">
        <f t="shared" ref="G167:G201" si="20">E167*F167</f>
        <v>0</v>
      </c>
      <c r="H167" s="39">
        <f t="shared" ref="H167:H201" si="21">$L$5</f>
        <v>13.331285196019252</v>
      </c>
      <c r="I167" s="77">
        <f t="shared" ref="I167:I201" si="22">H167/48</f>
        <v>0.2777351082504011</v>
      </c>
      <c r="J167" s="39">
        <f t="shared" ref="J167:J181" si="23">I167*G167</f>
        <v>0</v>
      </c>
      <c r="K167" s="164"/>
      <c r="L167" s="73"/>
    </row>
    <row r="168" spans="1:13" ht="15" customHeight="1" x14ac:dyDescent="0.25">
      <c r="A168" s="142">
        <v>2</v>
      </c>
      <c r="B168" s="146"/>
      <c r="C168" s="24" t="s">
        <v>269</v>
      </c>
      <c r="D168" s="39"/>
      <c r="E168" s="39"/>
      <c r="F168" s="39"/>
      <c r="G168" s="39">
        <f t="shared" si="20"/>
        <v>0</v>
      </c>
      <c r="H168" s="39">
        <f t="shared" si="21"/>
        <v>13.331285196019252</v>
      </c>
      <c r="I168" s="77">
        <f t="shared" si="22"/>
        <v>0.2777351082504011</v>
      </c>
      <c r="J168" s="39">
        <f t="shared" si="23"/>
        <v>0</v>
      </c>
      <c r="K168" s="164"/>
      <c r="L168" s="73"/>
    </row>
    <row r="169" spans="1:13" ht="15" customHeight="1" x14ac:dyDescent="0.25">
      <c r="A169" s="142">
        <v>3</v>
      </c>
      <c r="B169" s="146"/>
      <c r="C169" s="24" t="s">
        <v>190</v>
      </c>
      <c r="D169" s="39"/>
      <c r="E169" s="39"/>
      <c r="F169" s="39"/>
      <c r="G169" s="39">
        <f t="shared" si="20"/>
        <v>0</v>
      </c>
      <c r="H169" s="39">
        <f t="shared" si="21"/>
        <v>13.331285196019252</v>
      </c>
      <c r="I169" s="77">
        <f t="shared" si="22"/>
        <v>0.2777351082504011</v>
      </c>
      <c r="J169" s="39">
        <f t="shared" si="23"/>
        <v>0</v>
      </c>
      <c r="K169" s="164"/>
      <c r="L169" s="73"/>
    </row>
    <row r="170" spans="1:13" ht="15" customHeight="1" x14ac:dyDescent="0.25">
      <c r="A170" s="142">
        <v>4</v>
      </c>
      <c r="B170" s="65"/>
      <c r="C170" s="4" t="s">
        <v>270</v>
      </c>
      <c r="D170" s="39"/>
      <c r="E170" s="39"/>
      <c r="F170" s="39"/>
      <c r="G170" s="39">
        <f t="shared" si="20"/>
        <v>0</v>
      </c>
      <c r="H170" s="39">
        <f t="shared" si="21"/>
        <v>13.331285196019252</v>
      </c>
      <c r="I170" s="77">
        <f t="shared" si="22"/>
        <v>0.2777351082504011</v>
      </c>
      <c r="J170" s="39">
        <f t="shared" si="23"/>
        <v>0</v>
      </c>
      <c r="K170" s="164"/>
      <c r="L170" s="73"/>
    </row>
    <row r="171" spans="1:13" ht="15" customHeight="1" x14ac:dyDescent="0.25">
      <c r="A171" s="142">
        <v>5</v>
      </c>
      <c r="B171" s="146"/>
      <c r="C171" s="39" t="s">
        <v>271</v>
      </c>
      <c r="D171" s="39"/>
      <c r="E171" s="39"/>
      <c r="F171" s="39"/>
      <c r="G171" s="39">
        <f t="shared" si="20"/>
        <v>0</v>
      </c>
      <c r="H171" s="39">
        <f t="shared" si="21"/>
        <v>13.331285196019252</v>
      </c>
      <c r="I171" s="77">
        <f t="shared" si="22"/>
        <v>0.2777351082504011</v>
      </c>
      <c r="J171" s="39">
        <f t="shared" si="23"/>
        <v>0</v>
      </c>
      <c r="K171" s="164"/>
      <c r="L171" s="73"/>
    </row>
    <row r="172" spans="1:13" ht="15" customHeight="1" x14ac:dyDescent="0.25">
      <c r="A172" s="142">
        <v>6</v>
      </c>
      <c r="B172" s="146"/>
      <c r="C172" s="39" t="s">
        <v>358</v>
      </c>
      <c r="D172" s="39"/>
      <c r="E172" s="181">
        <f>1*$L$7</f>
        <v>1</v>
      </c>
      <c r="F172" s="39">
        <v>100000</v>
      </c>
      <c r="G172" s="39">
        <f t="shared" si="20"/>
        <v>100000</v>
      </c>
      <c r="H172" s="39">
        <f t="shared" si="21"/>
        <v>13.331285196019252</v>
      </c>
      <c r="I172" s="77">
        <f>H172/48</f>
        <v>0.2777351082504011</v>
      </c>
      <c r="J172" s="39">
        <f t="shared" si="23"/>
        <v>27773.51082504011</v>
      </c>
      <c r="K172" s="164"/>
      <c r="L172" s="73"/>
    </row>
    <row r="173" spans="1:13" ht="15" customHeight="1" x14ac:dyDescent="0.25">
      <c r="A173" s="142">
        <v>7</v>
      </c>
      <c r="B173" s="146"/>
      <c r="C173" s="39" t="s">
        <v>189</v>
      </c>
      <c r="D173" s="39"/>
      <c r="E173" s="39"/>
      <c r="F173" s="39"/>
      <c r="G173" s="39">
        <f t="shared" si="20"/>
        <v>0</v>
      </c>
      <c r="H173" s="39">
        <f t="shared" si="21"/>
        <v>13.331285196019252</v>
      </c>
      <c r="I173" s="77">
        <f t="shared" si="22"/>
        <v>0.2777351082504011</v>
      </c>
      <c r="J173" s="39">
        <f t="shared" si="23"/>
        <v>0</v>
      </c>
      <c r="K173" s="164"/>
      <c r="L173" s="73"/>
    </row>
    <row r="174" spans="1:13" ht="15" customHeight="1" x14ac:dyDescent="0.25">
      <c r="A174" s="142"/>
      <c r="B174" s="39"/>
      <c r="C174" s="39" t="s">
        <v>272</v>
      </c>
      <c r="D174" s="39"/>
      <c r="E174" s="39"/>
      <c r="F174" s="39"/>
      <c r="G174" s="39">
        <f t="shared" si="20"/>
        <v>0</v>
      </c>
      <c r="H174" s="39">
        <f t="shared" si="21"/>
        <v>13.331285196019252</v>
      </c>
      <c r="I174" s="77">
        <f t="shared" si="22"/>
        <v>0.2777351082504011</v>
      </c>
      <c r="J174" s="39">
        <f t="shared" si="23"/>
        <v>0</v>
      </c>
      <c r="K174" s="164"/>
      <c r="L174" s="73"/>
    </row>
    <row r="175" spans="1:13" ht="15" customHeight="1" x14ac:dyDescent="0.25">
      <c r="A175" s="142"/>
      <c r="B175" s="39"/>
      <c r="C175" s="39" t="s">
        <v>273</v>
      </c>
      <c r="D175" s="39"/>
      <c r="E175" s="39"/>
      <c r="F175" s="39"/>
      <c r="G175" s="39">
        <f t="shared" si="20"/>
        <v>0</v>
      </c>
      <c r="H175" s="39">
        <f t="shared" si="21"/>
        <v>13.331285196019252</v>
      </c>
      <c r="I175" s="77">
        <f t="shared" si="22"/>
        <v>0.2777351082504011</v>
      </c>
      <c r="J175" s="39">
        <f t="shared" si="23"/>
        <v>0</v>
      </c>
      <c r="K175" s="164"/>
      <c r="L175" s="73"/>
    </row>
    <row r="176" spans="1:13" ht="15" customHeight="1" x14ac:dyDescent="0.25">
      <c r="A176" s="142"/>
      <c r="B176" s="39"/>
      <c r="C176" s="39" t="s">
        <v>274</v>
      </c>
      <c r="D176" s="39"/>
      <c r="E176" s="39"/>
      <c r="F176" s="39"/>
      <c r="G176" s="39">
        <f t="shared" si="20"/>
        <v>0</v>
      </c>
      <c r="H176" s="39">
        <f t="shared" si="21"/>
        <v>13.331285196019252</v>
      </c>
      <c r="I176" s="77">
        <f t="shared" si="22"/>
        <v>0.2777351082504011</v>
      </c>
      <c r="J176" s="39">
        <f t="shared" si="23"/>
        <v>0</v>
      </c>
      <c r="K176" s="164"/>
      <c r="L176" s="73"/>
      <c r="M176" s="26"/>
    </row>
    <row r="177" spans="1:13" ht="15" customHeight="1" x14ac:dyDescent="0.25">
      <c r="A177" s="142"/>
      <c r="B177" s="39"/>
      <c r="C177" s="39" t="s">
        <v>275</v>
      </c>
      <c r="D177" s="39"/>
      <c r="E177" s="39"/>
      <c r="F177" s="39"/>
      <c r="G177" s="39">
        <f t="shared" si="20"/>
        <v>0</v>
      </c>
      <c r="H177" s="39">
        <f t="shared" si="21"/>
        <v>13.331285196019252</v>
      </c>
      <c r="I177" s="77">
        <f t="shared" si="22"/>
        <v>0.2777351082504011</v>
      </c>
      <c r="J177" s="39">
        <f t="shared" si="23"/>
        <v>0</v>
      </c>
      <c r="K177" s="164"/>
      <c r="L177" s="73"/>
    </row>
    <row r="178" spans="1:13" ht="15" customHeight="1" x14ac:dyDescent="0.25">
      <c r="A178" s="142"/>
      <c r="B178" s="39"/>
      <c r="C178" s="39" t="s">
        <v>276</v>
      </c>
      <c r="D178" s="39"/>
      <c r="E178" s="39"/>
      <c r="F178" s="39"/>
      <c r="G178" s="39">
        <f t="shared" si="20"/>
        <v>0</v>
      </c>
      <c r="H178" s="39">
        <f t="shared" si="21"/>
        <v>13.331285196019252</v>
      </c>
      <c r="I178" s="77">
        <f t="shared" si="22"/>
        <v>0.2777351082504011</v>
      </c>
      <c r="J178" s="39">
        <f t="shared" si="23"/>
        <v>0</v>
      </c>
      <c r="K178" s="164"/>
      <c r="L178" s="73"/>
    </row>
    <row r="179" spans="1:13" ht="15" customHeight="1" x14ac:dyDescent="0.25">
      <c r="A179" s="142"/>
      <c r="B179" s="39"/>
      <c r="C179" s="39" t="s">
        <v>277</v>
      </c>
      <c r="D179" s="39"/>
      <c r="E179" s="39"/>
      <c r="F179" s="39"/>
      <c r="G179" s="39">
        <f t="shared" si="20"/>
        <v>0</v>
      </c>
      <c r="H179" s="39">
        <f t="shared" si="21"/>
        <v>13.331285196019252</v>
      </c>
      <c r="I179" s="77">
        <f t="shared" si="22"/>
        <v>0.2777351082504011</v>
      </c>
      <c r="J179" s="39">
        <f t="shared" si="23"/>
        <v>0</v>
      </c>
      <c r="K179" s="164"/>
      <c r="L179" s="73"/>
    </row>
    <row r="180" spans="1:13" ht="15" customHeight="1" x14ac:dyDescent="0.25">
      <c r="A180" s="142"/>
      <c r="B180" s="39"/>
      <c r="C180" s="24"/>
      <c r="D180" s="39"/>
      <c r="E180" s="39"/>
      <c r="F180" s="39"/>
      <c r="G180" s="39">
        <f t="shared" si="20"/>
        <v>0</v>
      </c>
      <c r="H180" s="39">
        <f t="shared" si="21"/>
        <v>13.331285196019252</v>
      </c>
      <c r="I180" s="77">
        <f t="shared" si="22"/>
        <v>0.2777351082504011</v>
      </c>
      <c r="J180" s="39">
        <f t="shared" si="23"/>
        <v>0</v>
      </c>
      <c r="K180" s="164"/>
      <c r="L180" s="73"/>
    </row>
    <row r="181" spans="1:13" ht="15" customHeight="1" x14ac:dyDescent="0.25">
      <c r="A181" s="182"/>
      <c r="B181" s="96" t="s">
        <v>24</v>
      </c>
      <c r="C181" s="39" t="s">
        <v>278</v>
      </c>
      <c r="D181" s="39"/>
      <c r="E181" s="39"/>
      <c r="F181" s="39"/>
      <c r="G181" s="39">
        <f t="shared" si="20"/>
        <v>0</v>
      </c>
      <c r="H181" s="39">
        <f t="shared" si="21"/>
        <v>13.331285196019252</v>
      </c>
      <c r="I181" s="77">
        <f t="shared" si="22"/>
        <v>0.2777351082504011</v>
      </c>
      <c r="J181" s="39">
        <f t="shared" si="23"/>
        <v>0</v>
      </c>
      <c r="K181" s="164"/>
      <c r="L181" s="73"/>
    </row>
    <row r="182" spans="1:13" ht="15" customHeight="1" x14ac:dyDescent="0.25">
      <c r="A182" s="142"/>
      <c r="B182" s="152"/>
      <c r="C182" s="164" t="s">
        <v>280</v>
      </c>
      <c r="D182" s="39"/>
      <c r="E182" s="39"/>
      <c r="F182" s="39"/>
      <c r="G182" s="39">
        <f t="shared" si="20"/>
        <v>0</v>
      </c>
      <c r="H182" s="39">
        <f t="shared" si="21"/>
        <v>13.331285196019252</v>
      </c>
      <c r="I182" s="77">
        <f t="shared" si="22"/>
        <v>0.2777351082504011</v>
      </c>
      <c r="J182" s="39">
        <f>I182*G182</f>
        <v>0</v>
      </c>
      <c r="K182" s="164"/>
      <c r="L182" s="145"/>
    </row>
    <row r="183" spans="1:13" ht="15" customHeight="1" x14ac:dyDescent="0.25">
      <c r="A183" s="142"/>
      <c r="B183" s="152"/>
      <c r="C183" s="164" t="s">
        <v>281</v>
      </c>
      <c r="D183" s="39"/>
      <c r="E183" s="39"/>
      <c r="F183" s="39"/>
      <c r="G183" s="39">
        <f t="shared" si="20"/>
        <v>0</v>
      </c>
      <c r="H183" s="39">
        <f t="shared" si="21"/>
        <v>13.331285196019252</v>
      </c>
      <c r="I183" s="77">
        <f t="shared" si="22"/>
        <v>0.2777351082504011</v>
      </c>
      <c r="J183" s="39">
        <f t="shared" ref="J183:J201" si="24">I183*G183</f>
        <v>0</v>
      </c>
      <c r="K183" s="164"/>
      <c r="L183" s="145"/>
    </row>
    <row r="184" spans="1:13" ht="15" customHeight="1" x14ac:dyDescent="0.25">
      <c r="A184" s="142"/>
      <c r="B184" s="152"/>
      <c r="C184" s="164" t="s">
        <v>282</v>
      </c>
      <c r="D184" s="39"/>
      <c r="E184" s="39"/>
      <c r="F184" s="39"/>
      <c r="G184" s="39">
        <f t="shared" si="20"/>
        <v>0</v>
      </c>
      <c r="H184" s="39">
        <f t="shared" si="21"/>
        <v>13.331285196019252</v>
      </c>
      <c r="I184" s="77">
        <f t="shared" si="22"/>
        <v>0.2777351082504011</v>
      </c>
      <c r="J184" s="39">
        <f t="shared" si="24"/>
        <v>0</v>
      </c>
      <c r="K184" s="164"/>
      <c r="L184" s="145"/>
    </row>
    <row r="185" spans="1:13" ht="15" customHeight="1" x14ac:dyDescent="0.25">
      <c r="A185" s="142"/>
      <c r="B185" s="152"/>
      <c r="C185" s="164" t="s">
        <v>283</v>
      </c>
      <c r="D185" s="39"/>
      <c r="E185" s="144"/>
      <c r="F185" s="39"/>
      <c r="G185" s="39">
        <f t="shared" si="20"/>
        <v>0</v>
      </c>
      <c r="H185" s="39">
        <f t="shared" si="21"/>
        <v>13.331285196019252</v>
      </c>
      <c r="I185" s="77">
        <f t="shared" si="22"/>
        <v>0.2777351082504011</v>
      </c>
      <c r="J185" s="39">
        <f t="shared" si="24"/>
        <v>0</v>
      </c>
      <c r="K185" s="164"/>
      <c r="L185" s="145"/>
    </row>
    <row r="186" spans="1:13" ht="15" customHeight="1" x14ac:dyDescent="0.25">
      <c r="A186" s="142"/>
      <c r="B186" s="152"/>
      <c r="C186" s="152" t="s">
        <v>284</v>
      </c>
      <c r="D186" s="39"/>
      <c r="E186" s="144"/>
      <c r="F186" s="39"/>
      <c r="G186" s="39">
        <f t="shared" si="20"/>
        <v>0</v>
      </c>
      <c r="H186" s="39">
        <f t="shared" si="21"/>
        <v>13.331285196019252</v>
      </c>
      <c r="I186" s="77">
        <f t="shared" si="22"/>
        <v>0.2777351082504011</v>
      </c>
      <c r="J186" s="39">
        <f t="shared" si="24"/>
        <v>0</v>
      </c>
      <c r="K186" s="164"/>
      <c r="L186" s="145"/>
      <c r="M186" s="65"/>
    </row>
    <row r="187" spans="1:13" ht="15" customHeight="1" x14ac:dyDescent="0.25">
      <c r="A187" s="153"/>
      <c r="B187" s="154"/>
      <c r="C187" s="152" t="s">
        <v>285</v>
      </c>
      <c r="D187" s="39"/>
      <c r="E187" s="183"/>
      <c r="F187" s="96"/>
      <c r="G187" s="39">
        <f t="shared" si="20"/>
        <v>0</v>
      </c>
      <c r="H187" s="39">
        <f t="shared" si="21"/>
        <v>13.331285196019252</v>
      </c>
      <c r="I187" s="77">
        <f t="shared" si="22"/>
        <v>0.2777351082504011</v>
      </c>
      <c r="J187" s="96">
        <f t="shared" si="24"/>
        <v>0</v>
      </c>
      <c r="K187" s="166"/>
      <c r="L187" s="145"/>
      <c r="M187" s="65"/>
    </row>
    <row r="188" spans="1:13" ht="15" customHeight="1" x14ac:dyDescent="0.25">
      <c r="A188" s="142"/>
      <c r="B188" s="152"/>
      <c r="C188" s="152" t="s">
        <v>286</v>
      </c>
      <c r="D188" s="39"/>
      <c r="E188" s="144"/>
      <c r="F188" s="39"/>
      <c r="G188" s="39">
        <f t="shared" si="20"/>
        <v>0</v>
      </c>
      <c r="H188" s="39">
        <f t="shared" si="21"/>
        <v>13.331285196019252</v>
      </c>
      <c r="I188" s="77">
        <f t="shared" si="22"/>
        <v>0.2777351082504011</v>
      </c>
      <c r="J188" s="39">
        <f t="shared" si="24"/>
        <v>0</v>
      </c>
      <c r="K188" s="164"/>
      <c r="L188" s="145"/>
    </row>
    <row r="189" spans="1:13" ht="15" customHeight="1" x14ac:dyDescent="0.25">
      <c r="A189" s="142"/>
      <c r="B189" s="152"/>
      <c r="C189" s="152"/>
      <c r="D189" s="39"/>
      <c r="E189" s="144"/>
      <c r="F189" s="39"/>
      <c r="G189" s="39">
        <f t="shared" si="20"/>
        <v>0</v>
      </c>
      <c r="H189" s="39">
        <f t="shared" si="21"/>
        <v>13.331285196019252</v>
      </c>
      <c r="I189" s="77">
        <f t="shared" si="22"/>
        <v>0.2777351082504011</v>
      </c>
      <c r="J189" s="39">
        <f>I189*G189</f>
        <v>0</v>
      </c>
      <c r="K189" s="164"/>
      <c r="L189" s="145"/>
    </row>
    <row r="190" spans="1:13" ht="15" customHeight="1" x14ac:dyDescent="0.25">
      <c r="A190" s="142"/>
      <c r="B190" s="154" t="s">
        <v>25</v>
      </c>
      <c r="C190" s="152" t="s">
        <v>287</v>
      </c>
      <c r="D190" s="39"/>
      <c r="E190" s="144"/>
      <c r="F190" s="39"/>
      <c r="G190" s="39">
        <f t="shared" si="20"/>
        <v>0</v>
      </c>
      <c r="H190" s="39">
        <f t="shared" si="21"/>
        <v>13.331285196019252</v>
      </c>
      <c r="I190" s="77">
        <f t="shared" si="22"/>
        <v>0.2777351082504011</v>
      </c>
      <c r="J190" s="39">
        <f>I190*G190</f>
        <v>0</v>
      </c>
      <c r="K190" s="164"/>
      <c r="L190" s="145"/>
    </row>
    <row r="191" spans="1:13" ht="15" customHeight="1" x14ac:dyDescent="0.25">
      <c r="A191" s="142"/>
      <c r="B191" s="152"/>
      <c r="C191" s="152" t="s">
        <v>127</v>
      </c>
      <c r="D191" s="39"/>
      <c r="E191" s="144"/>
      <c r="F191" s="39"/>
      <c r="G191" s="39">
        <f t="shared" si="20"/>
        <v>0</v>
      </c>
      <c r="H191" s="39">
        <f t="shared" si="21"/>
        <v>13.331285196019252</v>
      </c>
      <c r="I191" s="77">
        <f t="shared" si="22"/>
        <v>0.2777351082504011</v>
      </c>
      <c r="J191" s="39">
        <f>I191*G191</f>
        <v>0</v>
      </c>
      <c r="K191" s="164"/>
      <c r="L191" s="145"/>
    </row>
    <row r="192" spans="1:13" ht="15" customHeight="1" x14ac:dyDescent="0.25">
      <c r="A192" s="142"/>
      <c r="B192" s="152"/>
      <c r="C192" s="152" t="s">
        <v>288</v>
      </c>
      <c r="D192" s="39"/>
      <c r="E192" s="144"/>
      <c r="F192" s="39"/>
      <c r="G192" s="39">
        <f t="shared" si="20"/>
        <v>0</v>
      </c>
      <c r="H192" s="39">
        <f t="shared" si="21"/>
        <v>13.331285196019252</v>
      </c>
      <c r="I192" s="77">
        <f t="shared" si="22"/>
        <v>0.2777351082504011</v>
      </c>
      <c r="J192" s="39">
        <f t="shared" si="24"/>
        <v>0</v>
      </c>
      <c r="K192" s="164"/>
      <c r="L192" s="145"/>
    </row>
    <row r="193" spans="1:12" ht="15" customHeight="1" x14ac:dyDescent="0.25">
      <c r="A193" s="142"/>
      <c r="B193" s="146"/>
      <c r="C193" s="39" t="s">
        <v>289</v>
      </c>
      <c r="D193" s="39"/>
      <c r="E193" s="39"/>
      <c r="F193" s="39"/>
      <c r="G193" s="39">
        <f t="shared" si="20"/>
        <v>0</v>
      </c>
      <c r="H193" s="39">
        <f t="shared" si="21"/>
        <v>13.331285196019252</v>
      </c>
      <c r="I193" s="77">
        <f t="shared" si="22"/>
        <v>0.2777351082504011</v>
      </c>
      <c r="J193" s="39">
        <f t="shared" si="24"/>
        <v>0</v>
      </c>
      <c r="K193" s="164"/>
      <c r="L193" s="73"/>
    </row>
    <row r="194" spans="1:12" ht="15" customHeight="1" x14ac:dyDescent="0.25">
      <c r="A194" s="142"/>
      <c r="B194" s="146"/>
      <c r="C194" s="39" t="s">
        <v>290</v>
      </c>
      <c r="D194" s="39"/>
      <c r="E194" s="39"/>
      <c r="F194" s="39"/>
      <c r="G194" s="39">
        <f t="shared" si="20"/>
        <v>0</v>
      </c>
      <c r="H194" s="39">
        <f t="shared" si="21"/>
        <v>13.331285196019252</v>
      </c>
      <c r="I194" s="77">
        <f t="shared" si="22"/>
        <v>0.2777351082504011</v>
      </c>
      <c r="J194" s="39">
        <f t="shared" si="24"/>
        <v>0</v>
      </c>
      <c r="K194" s="164"/>
      <c r="L194" s="73"/>
    </row>
    <row r="195" spans="1:12" ht="15" customHeight="1" x14ac:dyDescent="0.25">
      <c r="A195" s="142"/>
      <c r="B195" s="146"/>
      <c r="C195" s="39" t="s">
        <v>128</v>
      </c>
      <c r="D195" s="39"/>
      <c r="E195" s="39"/>
      <c r="F195" s="39"/>
      <c r="G195" s="39">
        <f t="shared" si="20"/>
        <v>0</v>
      </c>
      <c r="H195" s="39">
        <f t="shared" si="21"/>
        <v>13.331285196019252</v>
      </c>
      <c r="I195" s="77">
        <f t="shared" si="22"/>
        <v>0.2777351082504011</v>
      </c>
      <c r="J195" s="39">
        <f t="shared" si="24"/>
        <v>0</v>
      </c>
      <c r="K195" s="164"/>
      <c r="L195" s="73"/>
    </row>
    <row r="196" spans="1:12" ht="15" customHeight="1" x14ac:dyDescent="0.25">
      <c r="A196" s="142"/>
      <c r="B196" s="146"/>
      <c r="C196" s="39"/>
      <c r="D196" s="39"/>
      <c r="E196" s="39"/>
      <c r="F196" s="39"/>
      <c r="G196" s="39">
        <f t="shared" si="20"/>
        <v>0</v>
      </c>
      <c r="H196" s="39">
        <f t="shared" si="21"/>
        <v>13.331285196019252</v>
      </c>
      <c r="I196" s="77">
        <f t="shared" si="22"/>
        <v>0.2777351082504011</v>
      </c>
      <c r="J196" s="39">
        <f t="shared" si="24"/>
        <v>0</v>
      </c>
      <c r="K196" s="164"/>
      <c r="L196" s="73"/>
    </row>
    <row r="197" spans="1:12" ht="15" customHeight="1" x14ac:dyDescent="0.25">
      <c r="A197" s="142"/>
      <c r="B197" s="146"/>
      <c r="C197" s="96" t="s">
        <v>41</v>
      </c>
      <c r="D197" s="39"/>
      <c r="E197" s="39"/>
      <c r="F197" s="39"/>
      <c r="G197" s="39">
        <f t="shared" si="20"/>
        <v>0</v>
      </c>
      <c r="H197" s="39">
        <f t="shared" si="21"/>
        <v>13.331285196019252</v>
      </c>
      <c r="I197" s="77">
        <f t="shared" si="22"/>
        <v>0.2777351082504011</v>
      </c>
      <c r="J197" s="39">
        <f t="shared" si="24"/>
        <v>0</v>
      </c>
      <c r="K197" s="164"/>
      <c r="L197" s="73"/>
    </row>
    <row r="198" spans="1:12" ht="15" customHeight="1" x14ac:dyDescent="0.25">
      <c r="A198" s="142"/>
      <c r="B198" s="146"/>
      <c r="C198" s="152" t="s">
        <v>334</v>
      </c>
      <c r="D198" s="39"/>
      <c r="E198" s="39"/>
      <c r="F198" s="39"/>
      <c r="G198" s="39">
        <f t="shared" si="20"/>
        <v>0</v>
      </c>
      <c r="H198" s="39">
        <f t="shared" si="21"/>
        <v>13.331285196019252</v>
      </c>
      <c r="I198" s="77">
        <f t="shared" si="22"/>
        <v>0.2777351082504011</v>
      </c>
      <c r="J198" s="39">
        <f t="shared" si="24"/>
        <v>0</v>
      </c>
      <c r="K198" s="164"/>
      <c r="L198" s="73"/>
    </row>
    <row r="199" spans="1:12" ht="15" customHeight="1" x14ac:dyDescent="0.25">
      <c r="A199" s="142"/>
      <c r="B199" s="146"/>
      <c r="C199" s="39" t="s">
        <v>291</v>
      </c>
      <c r="D199" s="39"/>
      <c r="E199" s="184">
        <f>1*$L$7</f>
        <v>1</v>
      </c>
      <c r="F199" s="39">
        <v>400000</v>
      </c>
      <c r="G199" s="39">
        <f t="shared" si="20"/>
        <v>400000</v>
      </c>
      <c r="H199" s="39">
        <f t="shared" si="21"/>
        <v>13.331285196019252</v>
      </c>
      <c r="I199" s="77">
        <f t="shared" si="22"/>
        <v>0.2777351082504011</v>
      </c>
      <c r="J199" s="39">
        <f t="shared" si="24"/>
        <v>111094.04330016044</v>
      </c>
      <c r="K199" s="164"/>
      <c r="L199" s="73"/>
    </row>
    <row r="200" spans="1:12" ht="15" customHeight="1" x14ac:dyDescent="0.25">
      <c r="A200" s="142"/>
      <c r="B200" s="146"/>
      <c r="C200" s="39" t="s">
        <v>304</v>
      </c>
      <c r="D200" s="39"/>
      <c r="E200" s="144"/>
      <c r="F200" s="39"/>
      <c r="G200" s="39">
        <f t="shared" si="20"/>
        <v>0</v>
      </c>
      <c r="H200" s="39">
        <f t="shared" si="21"/>
        <v>13.331285196019252</v>
      </c>
      <c r="I200" s="77">
        <f t="shared" si="22"/>
        <v>0.2777351082504011</v>
      </c>
      <c r="J200" s="39">
        <f t="shared" si="24"/>
        <v>0</v>
      </c>
      <c r="K200" s="164"/>
      <c r="L200" s="73"/>
    </row>
    <row r="201" spans="1:12" ht="15" customHeight="1" x14ac:dyDescent="0.25">
      <c r="A201" s="142"/>
      <c r="B201" s="146"/>
      <c r="C201" s="39"/>
      <c r="D201" s="39"/>
      <c r="E201" s="39"/>
      <c r="F201" s="39"/>
      <c r="G201" s="39">
        <f t="shared" si="20"/>
        <v>0</v>
      </c>
      <c r="H201" s="39">
        <f t="shared" si="21"/>
        <v>13.331285196019252</v>
      </c>
      <c r="I201" s="77">
        <f t="shared" si="22"/>
        <v>0.2777351082504011</v>
      </c>
      <c r="J201" s="39">
        <f t="shared" si="24"/>
        <v>0</v>
      </c>
      <c r="K201" s="164"/>
      <c r="L201" s="73"/>
    </row>
    <row r="202" spans="1:12" ht="15" customHeight="1" x14ac:dyDescent="0.25">
      <c r="A202" s="153"/>
      <c r="B202" s="154"/>
      <c r="C202" s="185" t="s">
        <v>35</v>
      </c>
      <c r="D202" s="186"/>
      <c r="E202" s="186"/>
      <c r="F202" s="186"/>
      <c r="G202" s="186"/>
      <c r="H202" s="96"/>
      <c r="I202" s="96"/>
      <c r="J202" s="96">
        <f>SUM(J167:J201)</f>
        <v>138867.55412520055</v>
      </c>
      <c r="K202" s="96"/>
      <c r="L202" s="98">
        <f>SUM(L167:L201)</f>
        <v>0</v>
      </c>
    </row>
    <row r="203" spans="1:12" ht="15" customHeight="1" x14ac:dyDescent="0.25">
      <c r="A203" s="99"/>
      <c r="B203" s="56"/>
      <c r="C203" s="133"/>
      <c r="D203" s="133"/>
      <c r="E203" s="133"/>
      <c r="F203" s="133"/>
      <c r="G203" s="133"/>
      <c r="H203" s="133"/>
      <c r="I203" s="56"/>
      <c r="J203" s="56"/>
      <c r="K203" s="56"/>
      <c r="L203" s="187"/>
    </row>
    <row r="204" spans="1:12" ht="15" customHeight="1" thickBot="1" x14ac:dyDescent="0.3">
      <c r="A204" s="188"/>
      <c r="B204" s="189"/>
      <c r="C204" s="190"/>
      <c r="D204" s="190"/>
      <c r="E204" s="190"/>
      <c r="F204" s="190"/>
      <c r="G204" s="190"/>
      <c r="H204" s="190"/>
      <c r="I204" s="190"/>
      <c r="J204" s="190"/>
      <c r="K204" s="190"/>
      <c r="L204" s="191"/>
    </row>
    <row r="205" spans="1:12" ht="15" customHeight="1" thickTop="1" x14ac:dyDescent="0.25">
      <c r="A205" s="192" t="s">
        <v>308</v>
      </c>
      <c r="B205" s="261" t="s">
        <v>292</v>
      </c>
      <c r="C205" s="258"/>
      <c r="D205" s="258"/>
      <c r="E205" s="258"/>
      <c r="F205" s="258"/>
      <c r="G205" s="258"/>
      <c r="H205" s="258"/>
      <c r="I205" s="258"/>
      <c r="J205" s="258"/>
      <c r="K205" s="258"/>
      <c r="L205" s="259"/>
    </row>
    <row r="206" spans="1:12" ht="15" customHeight="1" x14ac:dyDescent="0.25">
      <c r="A206" s="182" t="s">
        <v>44</v>
      </c>
      <c r="B206" s="193"/>
      <c r="C206" s="136" t="s">
        <v>19</v>
      </c>
      <c r="D206" s="137"/>
      <c r="E206" s="194" t="s">
        <v>30</v>
      </c>
      <c r="F206" s="194" t="s">
        <v>123</v>
      </c>
      <c r="G206" s="194" t="s">
        <v>167</v>
      </c>
      <c r="H206" s="194" t="s">
        <v>168</v>
      </c>
      <c r="I206" s="194" t="s">
        <v>176</v>
      </c>
      <c r="J206" s="136" t="s">
        <v>57</v>
      </c>
      <c r="K206" s="20"/>
      <c r="L206" s="98"/>
    </row>
    <row r="207" spans="1:12" ht="15" customHeight="1" x14ac:dyDescent="0.25">
      <c r="A207" s="153"/>
      <c r="B207" s="154"/>
      <c r="C207" s="136" t="s">
        <v>58</v>
      </c>
      <c r="D207" s="20"/>
      <c r="E207" s="96"/>
      <c r="F207" s="39"/>
      <c r="G207" s="143"/>
      <c r="H207" s="166"/>
      <c r="I207" s="96"/>
      <c r="J207" s="136"/>
      <c r="K207" s="20"/>
      <c r="L207" s="98"/>
    </row>
    <row r="208" spans="1:12" ht="15" customHeight="1" x14ac:dyDescent="0.25">
      <c r="A208" s="182" t="s">
        <v>23</v>
      </c>
      <c r="B208" s="195" t="s">
        <v>23</v>
      </c>
      <c r="C208" s="136" t="s">
        <v>293</v>
      </c>
      <c r="D208" s="20"/>
      <c r="E208" s="39"/>
      <c r="F208" s="39"/>
      <c r="G208" s="146"/>
      <c r="H208" s="164"/>
      <c r="I208" s="39"/>
      <c r="J208" s="80"/>
      <c r="K208" s="20"/>
      <c r="L208" s="73"/>
    </row>
    <row r="209" spans="1:13" ht="15" customHeight="1" x14ac:dyDescent="0.25">
      <c r="A209" s="182"/>
      <c r="B209" s="195"/>
      <c r="C209" s="80" t="s">
        <v>268</v>
      </c>
      <c r="D209" s="20"/>
      <c r="E209" s="39"/>
      <c r="F209" s="39">
        <f t="shared" ref="F209:F235" si="25">$L$5</f>
        <v>13.331285196019252</v>
      </c>
      <c r="G209" s="146"/>
      <c r="H209" s="164">
        <f t="shared" ref="H209:H235" si="26">E209*F209*26</f>
        <v>0</v>
      </c>
      <c r="I209" s="39"/>
      <c r="J209" s="80">
        <f t="shared" ref="J209:J231" si="27">H209*I209</f>
        <v>0</v>
      </c>
      <c r="K209" s="20"/>
      <c r="L209" s="73"/>
    </row>
    <row r="210" spans="1:13" ht="15" customHeight="1" x14ac:dyDescent="0.25">
      <c r="A210" s="182"/>
      <c r="B210" s="195"/>
      <c r="C210" s="64" t="s">
        <v>269</v>
      </c>
      <c r="D210" s="20"/>
      <c r="E210" s="39"/>
      <c r="F210" s="39">
        <f t="shared" si="25"/>
        <v>13.331285196019252</v>
      </c>
      <c r="G210" s="146"/>
      <c r="H210" s="164">
        <f t="shared" si="26"/>
        <v>0</v>
      </c>
      <c r="I210" s="39"/>
      <c r="J210" s="80">
        <f t="shared" si="27"/>
        <v>0</v>
      </c>
      <c r="K210" s="20"/>
      <c r="L210" s="73"/>
    </row>
    <row r="211" spans="1:13" ht="15" customHeight="1" x14ac:dyDescent="0.25">
      <c r="A211" s="182"/>
      <c r="B211" s="195"/>
      <c r="C211" s="64" t="s">
        <v>190</v>
      </c>
      <c r="D211" s="20"/>
      <c r="E211" s="39"/>
      <c r="F211" s="39">
        <f t="shared" si="25"/>
        <v>13.331285196019252</v>
      </c>
      <c r="G211" s="146"/>
      <c r="H211" s="164">
        <f t="shared" si="26"/>
        <v>0</v>
      </c>
      <c r="I211" s="39"/>
      <c r="J211" s="80">
        <f t="shared" si="27"/>
        <v>0</v>
      </c>
      <c r="K211" s="20"/>
      <c r="L211" s="73"/>
    </row>
    <row r="212" spans="1:13" ht="15" customHeight="1" x14ac:dyDescent="0.25">
      <c r="A212" s="182"/>
      <c r="B212" s="195"/>
      <c r="C212" s="15" t="s">
        <v>270</v>
      </c>
      <c r="D212" s="20"/>
      <c r="E212" s="39"/>
      <c r="F212" s="39">
        <f t="shared" si="25"/>
        <v>13.331285196019252</v>
      </c>
      <c r="G212" s="146"/>
      <c r="H212" s="164">
        <f t="shared" si="26"/>
        <v>0</v>
      </c>
      <c r="I212" s="39"/>
      <c r="J212" s="80">
        <f t="shared" si="27"/>
        <v>0</v>
      </c>
      <c r="K212" s="20"/>
      <c r="L212" s="73"/>
    </row>
    <row r="213" spans="1:13" ht="15" customHeight="1" x14ac:dyDescent="0.25">
      <c r="A213" s="182"/>
      <c r="B213" s="195"/>
      <c r="C213" s="80" t="s">
        <v>271</v>
      </c>
      <c r="D213" s="20"/>
      <c r="E213" s="39"/>
      <c r="F213" s="39">
        <f t="shared" si="25"/>
        <v>13.331285196019252</v>
      </c>
      <c r="G213" s="146"/>
      <c r="H213" s="164">
        <f t="shared" si="26"/>
        <v>0</v>
      </c>
      <c r="I213" s="39"/>
      <c r="J213" s="80">
        <f t="shared" si="27"/>
        <v>0</v>
      </c>
      <c r="K213" s="20"/>
      <c r="L213" s="73"/>
    </row>
    <row r="214" spans="1:13" ht="15" customHeight="1" x14ac:dyDescent="0.25">
      <c r="A214" s="182"/>
      <c r="B214" s="195"/>
      <c r="C214" s="80" t="s">
        <v>358</v>
      </c>
      <c r="D214" s="20"/>
      <c r="E214" s="181">
        <f>1*$L$7</f>
        <v>1</v>
      </c>
      <c r="F214" s="39">
        <f t="shared" si="25"/>
        <v>13.331285196019252</v>
      </c>
      <c r="G214" s="146"/>
      <c r="H214" s="164">
        <f>E214*F214*26</f>
        <v>346.61341509650055</v>
      </c>
      <c r="I214" s="39">
        <v>100</v>
      </c>
      <c r="J214" s="80">
        <f>H214*I214</f>
        <v>34661.341509650054</v>
      </c>
      <c r="K214" s="20"/>
      <c r="L214" s="73"/>
      <c r="M214" s="26"/>
    </row>
    <row r="215" spans="1:13" ht="15" customHeight="1" x14ac:dyDescent="0.25">
      <c r="A215" s="182"/>
      <c r="B215" s="195"/>
      <c r="C215" s="80" t="s">
        <v>189</v>
      </c>
      <c r="D215" s="20"/>
      <c r="E215" s="39"/>
      <c r="F215" s="39">
        <f t="shared" si="25"/>
        <v>13.331285196019252</v>
      </c>
      <c r="G215" s="146"/>
      <c r="H215" s="164">
        <f t="shared" si="26"/>
        <v>0</v>
      </c>
      <c r="I215" s="39"/>
      <c r="J215" s="80">
        <f t="shared" si="27"/>
        <v>0</v>
      </c>
      <c r="K215" s="20"/>
      <c r="L215" s="73"/>
    </row>
    <row r="216" spans="1:13" ht="15" customHeight="1" x14ac:dyDescent="0.25">
      <c r="A216" s="182"/>
      <c r="B216" s="195"/>
      <c r="C216" s="80" t="s">
        <v>301</v>
      </c>
      <c r="D216" s="20"/>
      <c r="E216" s="39"/>
      <c r="F216" s="39">
        <f t="shared" si="25"/>
        <v>13.331285196019252</v>
      </c>
      <c r="G216" s="146"/>
      <c r="H216" s="164">
        <f t="shared" si="26"/>
        <v>0</v>
      </c>
      <c r="I216" s="39"/>
      <c r="J216" s="80">
        <f t="shared" si="27"/>
        <v>0</v>
      </c>
      <c r="K216" s="20"/>
      <c r="L216" s="73"/>
    </row>
    <row r="217" spans="1:13" ht="15" customHeight="1" x14ac:dyDescent="0.25">
      <c r="A217" s="182"/>
      <c r="B217" s="195"/>
      <c r="C217" s="80" t="s">
        <v>274</v>
      </c>
      <c r="D217" s="20"/>
      <c r="E217" s="39"/>
      <c r="F217" s="39">
        <f t="shared" si="25"/>
        <v>13.331285196019252</v>
      </c>
      <c r="G217" s="146"/>
      <c r="H217" s="164">
        <f t="shared" si="26"/>
        <v>0</v>
      </c>
      <c r="I217" s="39"/>
      <c r="J217" s="80">
        <f t="shared" si="27"/>
        <v>0</v>
      </c>
      <c r="K217" s="20"/>
      <c r="L217" s="73"/>
    </row>
    <row r="218" spans="1:13" ht="15" customHeight="1" x14ac:dyDescent="0.25">
      <c r="A218" s="182"/>
      <c r="B218" s="195" t="s">
        <v>24</v>
      </c>
      <c r="C218" s="136" t="s">
        <v>278</v>
      </c>
      <c r="D218" s="20"/>
      <c r="E218" s="39"/>
      <c r="F218" s="39">
        <f t="shared" si="25"/>
        <v>13.331285196019252</v>
      </c>
      <c r="G218" s="146"/>
      <c r="H218" s="164">
        <f t="shared" si="26"/>
        <v>0</v>
      </c>
      <c r="I218" s="39"/>
      <c r="J218" s="80">
        <f t="shared" si="27"/>
        <v>0</v>
      </c>
      <c r="K218" s="20"/>
      <c r="L218" s="73"/>
    </row>
    <row r="219" spans="1:13" ht="15" customHeight="1" x14ac:dyDescent="0.25">
      <c r="A219" s="182"/>
      <c r="B219" s="195"/>
      <c r="C219" s="80" t="s">
        <v>280</v>
      </c>
      <c r="D219" s="20"/>
      <c r="E219" s="39"/>
      <c r="F219" s="39">
        <f t="shared" si="25"/>
        <v>13.331285196019252</v>
      </c>
      <c r="G219" s="146"/>
      <c r="H219" s="164">
        <f t="shared" si="26"/>
        <v>0</v>
      </c>
      <c r="I219" s="39"/>
      <c r="J219" s="80">
        <f t="shared" si="27"/>
        <v>0</v>
      </c>
      <c r="K219" s="20"/>
      <c r="L219" s="73"/>
    </row>
    <row r="220" spans="1:13" ht="15" customHeight="1" x14ac:dyDescent="0.25">
      <c r="A220" s="182"/>
      <c r="B220" s="195"/>
      <c r="C220" s="80" t="s">
        <v>281</v>
      </c>
      <c r="D220" s="20"/>
      <c r="E220" s="39"/>
      <c r="F220" s="39">
        <f t="shared" si="25"/>
        <v>13.331285196019252</v>
      </c>
      <c r="G220" s="146"/>
      <c r="H220" s="164">
        <f t="shared" si="26"/>
        <v>0</v>
      </c>
      <c r="I220" s="39"/>
      <c r="J220" s="80">
        <f t="shared" si="27"/>
        <v>0</v>
      </c>
      <c r="K220" s="20"/>
      <c r="L220" s="73"/>
    </row>
    <row r="221" spans="1:13" ht="15" customHeight="1" x14ac:dyDescent="0.25">
      <c r="A221" s="182"/>
      <c r="B221" s="195"/>
      <c r="C221" s="80" t="s">
        <v>282</v>
      </c>
      <c r="D221" s="20"/>
      <c r="E221" s="39"/>
      <c r="F221" s="39">
        <f t="shared" si="25"/>
        <v>13.331285196019252</v>
      </c>
      <c r="G221" s="146"/>
      <c r="H221" s="164">
        <f t="shared" si="26"/>
        <v>0</v>
      </c>
      <c r="I221" s="39"/>
      <c r="J221" s="80">
        <f t="shared" si="27"/>
        <v>0</v>
      </c>
      <c r="K221" s="20"/>
      <c r="L221" s="73"/>
    </row>
    <row r="222" spans="1:13" ht="15" customHeight="1" x14ac:dyDescent="0.25">
      <c r="A222" s="182"/>
      <c r="B222" s="195"/>
      <c r="C222" s="80" t="s">
        <v>283</v>
      </c>
      <c r="D222" s="20"/>
      <c r="E222" s="39"/>
      <c r="F222" s="39">
        <f t="shared" si="25"/>
        <v>13.331285196019252</v>
      </c>
      <c r="G222" s="146"/>
      <c r="H222" s="164">
        <f t="shared" si="26"/>
        <v>0</v>
      </c>
      <c r="I222" s="39"/>
      <c r="J222" s="80">
        <f t="shared" si="27"/>
        <v>0</v>
      </c>
      <c r="K222" s="20"/>
      <c r="L222" s="73"/>
    </row>
    <row r="223" spans="1:13" ht="15" customHeight="1" x14ac:dyDescent="0.25">
      <c r="A223" s="182"/>
      <c r="B223" s="195"/>
      <c r="C223" s="18" t="s">
        <v>284</v>
      </c>
      <c r="D223" s="20"/>
      <c r="E223" s="39"/>
      <c r="F223" s="39">
        <f t="shared" si="25"/>
        <v>13.331285196019252</v>
      </c>
      <c r="G223" s="146"/>
      <c r="H223" s="164">
        <f t="shared" si="26"/>
        <v>0</v>
      </c>
      <c r="I223" s="39"/>
      <c r="J223" s="80">
        <f t="shared" si="27"/>
        <v>0</v>
      </c>
      <c r="K223" s="20"/>
      <c r="L223" s="73"/>
    </row>
    <row r="224" spans="1:13" ht="15" customHeight="1" x14ac:dyDescent="0.25">
      <c r="A224" s="182"/>
      <c r="B224" s="195"/>
      <c r="C224" s="18" t="s">
        <v>285</v>
      </c>
      <c r="D224" s="20"/>
      <c r="E224" s="39"/>
      <c r="F224" s="39">
        <f t="shared" si="25"/>
        <v>13.331285196019252</v>
      </c>
      <c r="G224" s="146"/>
      <c r="H224" s="164">
        <f t="shared" si="26"/>
        <v>0</v>
      </c>
      <c r="I224" s="39"/>
      <c r="J224" s="80">
        <f t="shared" si="27"/>
        <v>0</v>
      </c>
      <c r="K224" s="20"/>
      <c r="L224" s="73"/>
    </row>
    <row r="225" spans="1:12" ht="15" customHeight="1" x14ac:dyDescent="0.25">
      <c r="A225" s="182"/>
      <c r="B225" s="195"/>
      <c r="C225" s="18" t="s">
        <v>286</v>
      </c>
      <c r="D225" s="20"/>
      <c r="E225" s="39"/>
      <c r="F225" s="39">
        <f t="shared" si="25"/>
        <v>13.331285196019252</v>
      </c>
      <c r="G225" s="146"/>
      <c r="H225" s="164">
        <f t="shared" si="26"/>
        <v>0</v>
      </c>
      <c r="I225" s="39"/>
      <c r="J225" s="80">
        <f t="shared" si="27"/>
        <v>0</v>
      </c>
      <c r="K225" s="20"/>
      <c r="L225" s="73"/>
    </row>
    <row r="226" spans="1:12" ht="15" customHeight="1" x14ac:dyDescent="0.25">
      <c r="A226" s="142"/>
      <c r="B226" s="152" t="s">
        <v>25</v>
      </c>
      <c r="C226" s="196" t="s">
        <v>287</v>
      </c>
      <c r="D226" s="20"/>
      <c r="E226" s="144"/>
      <c r="F226" s="39">
        <f t="shared" si="25"/>
        <v>13.331285196019252</v>
      </c>
      <c r="G226" s="146"/>
      <c r="H226" s="164">
        <f t="shared" si="26"/>
        <v>0</v>
      </c>
      <c r="I226" s="39"/>
      <c r="J226" s="80">
        <f t="shared" si="27"/>
        <v>0</v>
      </c>
      <c r="K226" s="20"/>
      <c r="L226" s="145" t="s">
        <v>211</v>
      </c>
    </row>
    <row r="227" spans="1:12" ht="15" customHeight="1" x14ac:dyDescent="0.25">
      <c r="A227" s="142"/>
      <c r="B227" s="152"/>
      <c r="C227" s="18" t="s">
        <v>127</v>
      </c>
      <c r="D227" s="20"/>
      <c r="E227" s="144"/>
      <c r="F227" s="39">
        <f t="shared" si="25"/>
        <v>13.331285196019252</v>
      </c>
      <c r="G227" s="146"/>
      <c r="H227" s="164">
        <f t="shared" si="26"/>
        <v>0</v>
      </c>
      <c r="I227" s="39"/>
      <c r="J227" s="80">
        <f t="shared" si="27"/>
        <v>0</v>
      </c>
      <c r="K227" s="20"/>
      <c r="L227" s="145"/>
    </row>
    <row r="228" spans="1:12" ht="15" customHeight="1" x14ac:dyDescent="0.25">
      <c r="A228" s="142"/>
      <c r="B228" s="152"/>
      <c r="C228" s="18" t="s">
        <v>288</v>
      </c>
      <c r="D228" s="20"/>
      <c r="E228" s="144"/>
      <c r="F228" s="39">
        <f t="shared" si="25"/>
        <v>13.331285196019252</v>
      </c>
      <c r="G228" s="146"/>
      <c r="H228" s="164">
        <f t="shared" si="26"/>
        <v>0</v>
      </c>
      <c r="I228" s="39"/>
      <c r="J228" s="80">
        <f t="shared" si="27"/>
        <v>0</v>
      </c>
      <c r="K228" s="20"/>
      <c r="L228" s="145"/>
    </row>
    <row r="229" spans="1:12" ht="15" customHeight="1" x14ac:dyDescent="0.25">
      <c r="A229" s="153"/>
      <c r="B229" s="146"/>
      <c r="C229" s="80" t="s">
        <v>289</v>
      </c>
      <c r="D229" s="20"/>
      <c r="E229" s="144"/>
      <c r="F229" s="39">
        <f t="shared" si="25"/>
        <v>13.331285196019252</v>
      </c>
      <c r="G229" s="146"/>
      <c r="H229" s="164">
        <f t="shared" si="26"/>
        <v>0</v>
      </c>
      <c r="I229" s="39"/>
      <c r="J229" s="80">
        <f t="shared" si="27"/>
        <v>0</v>
      </c>
      <c r="K229" s="20"/>
      <c r="L229" s="145"/>
    </row>
    <row r="230" spans="1:12" ht="15" customHeight="1" x14ac:dyDescent="0.25">
      <c r="A230" s="142"/>
      <c r="B230" s="146"/>
      <c r="C230" s="80" t="s">
        <v>290</v>
      </c>
      <c r="D230" s="20"/>
      <c r="E230" s="144"/>
      <c r="F230" s="39">
        <f t="shared" si="25"/>
        <v>13.331285196019252</v>
      </c>
      <c r="G230" s="146"/>
      <c r="H230" s="164">
        <f t="shared" si="26"/>
        <v>0</v>
      </c>
      <c r="I230" s="39"/>
      <c r="J230" s="80">
        <f t="shared" si="27"/>
        <v>0</v>
      </c>
      <c r="K230" s="20"/>
      <c r="L230" s="145"/>
    </row>
    <row r="231" spans="1:12" ht="15" customHeight="1" x14ac:dyDescent="0.25">
      <c r="A231" s="142"/>
      <c r="B231" s="146"/>
      <c r="C231" s="80" t="s">
        <v>128</v>
      </c>
      <c r="D231" s="20"/>
      <c r="E231" s="144"/>
      <c r="F231" s="39">
        <f t="shared" si="25"/>
        <v>13.331285196019252</v>
      </c>
      <c r="G231" s="146"/>
      <c r="H231" s="164">
        <f t="shared" si="26"/>
        <v>0</v>
      </c>
      <c r="I231" s="39"/>
      <c r="J231" s="80">
        <f t="shared" si="27"/>
        <v>0</v>
      </c>
      <c r="K231" s="20"/>
      <c r="L231" s="145"/>
    </row>
    <row r="232" spans="1:12" ht="15" customHeight="1" x14ac:dyDescent="0.25">
      <c r="A232" s="142"/>
      <c r="B232" s="146" t="s">
        <v>26</v>
      </c>
      <c r="C232" s="136" t="s">
        <v>41</v>
      </c>
      <c r="D232" s="20"/>
      <c r="E232" s="144"/>
      <c r="F232" s="39">
        <f t="shared" si="25"/>
        <v>13.331285196019252</v>
      </c>
      <c r="G232" s="146"/>
      <c r="H232" s="164">
        <f t="shared" si="26"/>
        <v>0</v>
      </c>
      <c r="I232" s="39"/>
      <c r="J232" s="80">
        <f>H232*I232</f>
        <v>0</v>
      </c>
      <c r="K232" s="20"/>
      <c r="L232" s="145"/>
    </row>
    <row r="233" spans="1:12" ht="15" customHeight="1" x14ac:dyDescent="0.25">
      <c r="A233" s="142"/>
      <c r="B233" s="146"/>
      <c r="C233" s="18" t="s">
        <v>334</v>
      </c>
      <c r="D233" s="20"/>
      <c r="E233" s="144"/>
      <c r="F233" s="39">
        <f t="shared" si="25"/>
        <v>13.331285196019252</v>
      </c>
      <c r="G233" s="146"/>
      <c r="H233" s="164">
        <f t="shared" si="26"/>
        <v>0</v>
      </c>
      <c r="I233" s="39"/>
      <c r="J233" s="80">
        <f>H233*I233</f>
        <v>0</v>
      </c>
      <c r="K233" s="20"/>
      <c r="L233" s="145"/>
    </row>
    <row r="234" spans="1:12" ht="15" customHeight="1" x14ac:dyDescent="0.25">
      <c r="A234" s="142"/>
      <c r="B234" s="146"/>
      <c r="C234" s="80" t="s">
        <v>291</v>
      </c>
      <c r="D234" s="20"/>
      <c r="E234" s="144">
        <f>1*$L$7</f>
        <v>1</v>
      </c>
      <c r="F234" s="39">
        <f t="shared" si="25"/>
        <v>13.331285196019252</v>
      </c>
      <c r="G234" s="146"/>
      <c r="H234" s="164">
        <f>E234*F234*26</f>
        <v>346.61341509650055</v>
      </c>
      <c r="I234" s="39">
        <v>1200</v>
      </c>
      <c r="J234" s="80">
        <f>H234*I234</f>
        <v>415936.09811580065</v>
      </c>
      <c r="K234" s="20"/>
      <c r="L234" s="145"/>
    </row>
    <row r="235" spans="1:12" ht="15" customHeight="1" x14ac:dyDescent="0.25">
      <c r="A235" s="142"/>
      <c r="B235" s="146"/>
      <c r="C235" s="80" t="s">
        <v>303</v>
      </c>
      <c r="D235" s="20"/>
      <c r="E235" s="144"/>
      <c r="F235" s="39">
        <f t="shared" si="25"/>
        <v>13.331285196019252</v>
      </c>
      <c r="G235" s="146"/>
      <c r="H235" s="164">
        <f t="shared" si="26"/>
        <v>0</v>
      </c>
      <c r="I235" s="39"/>
      <c r="J235" s="80">
        <f>H235*I235</f>
        <v>0</v>
      </c>
      <c r="K235" s="20"/>
      <c r="L235" s="145"/>
    </row>
    <row r="236" spans="1:12" ht="15" customHeight="1" x14ac:dyDescent="0.25">
      <c r="A236" s="142"/>
      <c r="B236" s="152"/>
      <c r="C236" s="136" t="s">
        <v>42</v>
      </c>
      <c r="D236" s="20"/>
      <c r="E236" s="144">
        <f>SUM(E208:E235)</f>
        <v>2</v>
      </c>
      <c r="F236" s="144"/>
      <c r="G236" s="144"/>
      <c r="H236" s="144"/>
      <c r="I236" s="144"/>
      <c r="J236" s="80">
        <f>H236*I236</f>
        <v>0</v>
      </c>
      <c r="K236" s="20"/>
      <c r="L236" s="197"/>
    </row>
    <row r="237" spans="1:12" ht="15" customHeight="1" x14ac:dyDescent="0.25">
      <c r="A237" s="198"/>
      <c r="B237" s="195"/>
      <c r="C237" s="195"/>
      <c r="D237" s="195"/>
      <c r="E237" s="175"/>
      <c r="F237" s="175"/>
      <c r="G237" s="80" t="s">
        <v>177</v>
      </c>
      <c r="H237" s="15"/>
      <c r="I237" s="20"/>
      <c r="J237" s="80">
        <f>SUM(J207:K236)</f>
        <v>450597.4396254507</v>
      </c>
      <c r="K237" s="20"/>
      <c r="L237" s="73"/>
    </row>
    <row r="238" spans="1:12" ht="15" customHeight="1" x14ac:dyDescent="0.25">
      <c r="A238" s="138"/>
      <c r="B238" s="65"/>
      <c r="C238" s="65"/>
      <c r="D238" s="65"/>
      <c r="E238" s="65"/>
      <c r="F238" s="65"/>
      <c r="G238" s="80" t="s">
        <v>59</v>
      </c>
      <c r="H238" s="15"/>
      <c r="I238" s="20"/>
      <c r="J238" s="80">
        <f>J237</f>
        <v>450597.4396254507</v>
      </c>
      <c r="K238" s="20"/>
      <c r="L238" s="73"/>
    </row>
    <row r="239" spans="1:12" ht="15" customHeight="1" x14ac:dyDescent="0.25">
      <c r="A239" s="138"/>
      <c r="B239" s="65"/>
      <c r="C239" s="65"/>
      <c r="D239" s="65"/>
      <c r="E239" s="65"/>
      <c r="F239" s="65"/>
      <c r="G239" s="80" t="s">
        <v>184</v>
      </c>
      <c r="H239" s="15"/>
      <c r="I239" s="20"/>
      <c r="J239" s="80"/>
      <c r="K239" s="20"/>
      <c r="L239" s="73"/>
    </row>
    <row r="240" spans="1:12" ht="15" customHeight="1" x14ac:dyDescent="0.25">
      <c r="A240" s="138"/>
      <c r="B240" s="65"/>
      <c r="C240" s="65"/>
      <c r="D240" s="65"/>
      <c r="E240" s="65"/>
      <c r="F240" s="65"/>
      <c r="G240" s="136" t="s">
        <v>129</v>
      </c>
      <c r="H240" s="15"/>
      <c r="I240" s="20"/>
      <c r="J240" s="136">
        <f>J238+J239</f>
        <v>450597.4396254507</v>
      </c>
      <c r="K240" s="20"/>
      <c r="L240" s="73"/>
    </row>
    <row r="241" spans="1:13" ht="15" customHeight="1" x14ac:dyDescent="0.25">
      <c r="A241" s="138"/>
      <c r="B241" s="65"/>
      <c r="C241" s="65"/>
      <c r="D241" s="65"/>
      <c r="E241" s="65"/>
      <c r="F241" s="56"/>
      <c r="G241" s="65"/>
      <c r="H241" s="65"/>
      <c r="I241" s="65"/>
      <c r="J241" s="56"/>
      <c r="K241" s="56"/>
      <c r="L241" s="139"/>
    </row>
    <row r="242" spans="1:13" ht="15" customHeight="1" x14ac:dyDescent="0.25">
      <c r="A242" s="138"/>
      <c r="B242" s="65"/>
      <c r="C242" s="65"/>
      <c r="D242" s="133"/>
      <c r="E242" s="5" t="s">
        <v>133</v>
      </c>
      <c r="F242" s="199"/>
      <c r="G242" s="199"/>
      <c r="H242" s="199"/>
      <c r="I242" s="199"/>
      <c r="J242" s="199"/>
      <c r="K242" s="56"/>
      <c r="L242" s="139"/>
    </row>
    <row r="243" spans="1:13" ht="15" customHeight="1" x14ac:dyDescent="0.25">
      <c r="A243" s="138"/>
      <c r="B243" s="65"/>
      <c r="C243" s="65"/>
      <c r="D243" s="200"/>
      <c r="E243" s="14"/>
      <c r="F243" s="15"/>
      <c r="G243" s="15"/>
      <c r="H243" s="20"/>
      <c r="I243" s="113" t="s">
        <v>38</v>
      </c>
      <c r="J243" s="114"/>
      <c r="K243" s="56"/>
      <c r="L243" s="139"/>
    </row>
    <row r="244" spans="1:13" ht="15" customHeight="1" x14ac:dyDescent="0.25">
      <c r="A244" s="138"/>
      <c r="B244" s="65"/>
      <c r="C244" s="65"/>
      <c r="D244" s="200"/>
      <c r="E244" s="14" t="s">
        <v>222</v>
      </c>
      <c r="F244" s="15"/>
      <c r="G244" s="15"/>
      <c r="H244" s="20"/>
      <c r="I244" s="80">
        <f>J240</f>
        <v>450597.4396254507</v>
      </c>
      <c r="J244" s="20"/>
      <c r="K244" s="56"/>
      <c r="L244" s="139"/>
    </row>
    <row r="245" spans="1:13" ht="15" customHeight="1" thickBot="1" x14ac:dyDescent="0.3">
      <c r="A245" s="103"/>
      <c r="B245" s="106"/>
      <c r="C245" s="106"/>
      <c r="D245" s="201"/>
      <c r="E245" s="202" t="s">
        <v>146</v>
      </c>
      <c r="F245" s="203"/>
      <c r="G245" s="203"/>
      <c r="H245" s="204"/>
      <c r="I245" s="205">
        <f>SUM(I244)</f>
        <v>450597.4396254507</v>
      </c>
      <c r="J245" s="204"/>
      <c r="K245" s="106"/>
      <c r="L245" s="206"/>
    </row>
    <row r="246" spans="1:13" ht="15" customHeight="1" thickTop="1" x14ac:dyDescent="0.25">
      <c r="A246" s="207" t="s">
        <v>140</v>
      </c>
      <c r="B246" s="260" t="s">
        <v>302</v>
      </c>
      <c r="C246" s="258"/>
      <c r="D246" s="258"/>
      <c r="E246" s="258"/>
      <c r="F246" s="258"/>
      <c r="G246" s="258"/>
      <c r="H246" s="258"/>
      <c r="I246" s="258"/>
      <c r="J246" s="258"/>
      <c r="K246" s="258"/>
      <c r="L246" s="208"/>
    </row>
    <row r="247" spans="1:13" ht="15" customHeight="1" x14ac:dyDescent="0.25">
      <c r="A247" s="182" t="s">
        <v>44</v>
      </c>
      <c r="B247" s="136" t="s">
        <v>19</v>
      </c>
      <c r="C247" s="15"/>
      <c r="D247" s="137"/>
      <c r="E247" s="209" t="s">
        <v>30</v>
      </c>
      <c r="F247" s="194" t="s">
        <v>120</v>
      </c>
      <c r="G247" s="136" t="s">
        <v>154</v>
      </c>
      <c r="H247" s="137"/>
      <c r="I247" s="194" t="s">
        <v>37</v>
      </c>
      <c r="J247" s="166" t="s">
        <v>38</v>
      </c>
      <c r="K247" s="96"/>
      <c r="L247" s="98" t="s">
        <v>22</v>
      </c>
    </row>
    <row r="248" spans="1:13" ht="15" customHeight="1" x14ac:dyDescent="0.25">
      <c r="A248" s="142"/>
      <c r="B248" s="80" t="s">
        <v>60</v>
      </c>
      <c r="C248" s="15"/>
      <c r="D248" s="147"/>
      <c r="E248" s="39"/>
      <c r="F248" s="39">
        <f t="shared" ref="F248:F265" si="28">$L$5</f>
        <v>13.331285196019252</v>
      </c>
      <c r="G248" s="136">
        <f>F248*E248</f>
        <v>0</v>
      </c>
      <c r="H248" s="20"/>
      <c r="I248" s="39"/>
      <c r="J248" s="164">
        <f>I248*G248</f>
        <v>0</v>
      </c>
      <c r="K248" s="39"/>
      <c r="L248" s="145"/>
    </row>
    <row r="249" spans="1:13" ht="15" customHeight="1" x14ac:dyDescent="0.25">
      <c r="A249" s="142"/>
      <c r="B249" s="80" t="s">
        <v>61</v>
      </c>
      <c r="C249" s="15"/>
      <c r="D249" s="147"/>
      <c r="E249" s="39"/>
      <c r="F249" s="39">
        <f t="shared" si="28"/>
        <v>13.331285196019252</v>
      </c>
      <c r="G249" s="136">
        <f t="shared" ref="G249:G265" si="29">F249*E249</f>
        <v>0</v>
      </c>
      <c r="H249" s="20"/>
      <c r="I249" s="39"/>
      <c r="J249" s="164">
        <f t="shared" ref="J249:J265" si="30">I249*G249</f>
        <v>0</v>
      </c>
      <c r="K249" s="39"/>
      <c r="L249" s="145"/>
    </row>
    <row r="250" spans="1:13" ht="15" customHeight="1" x14ac:dyDescent="0.25">
      <c r="A250" s="142"/>
      <c r="B250" s="80" t="s">
        <v>62</v>
      </c>
      <c r="C250" s="15"/>
      <c r="D250" s="147"/>
      <c r="E250" s="39"/>
      <c r="F250" s="39">
        <f t="shared" si="28"/>
        <v>13.331285196019252</v>
      </c>
      <c r="G250" s="136">
        <f t="shared" si="29"/>
        <v>0</v>
      </c>
      <c r="H250" s="20"/>
      <c r="I250" s="39"/>
      <c r="J250" s="164">
        <f t="shared" si="30"/>
        <v>0</v>
      </c>
      <c r="K250" s="39"/>
      <c r="L250" s="145"/>
      <c r="M250" s="65"/>
    </row>
    <row r="251" spans="1:13" ht="15" customHeight="1" x14ac:dyDescent="0.25">
      <c r="A251" s="142"/>
      <c r="B251" s="80" t="s">
        <v>63</v>
      </c>
      <c r="C251" s="15"/>
      <c r="D251" s="147"/>
      <c r="E251" s="39"/>
      <c r="F251" s="39">
        <f t="shared" si="28"/>
        <v>13.331285196019252</v>
      </c>
      <c r="G251" s="136">
        <f t="shared" si="29"/>
        <v>0</v>
      </c>
      <c r="H251" s="20"/>
      <c r="I251" s="39"/>
      <c r="J251" s="164">
        <f t="shared" si="30"/>
        <v>0</v>
      </c>
      <c r="K251" s="39"/>
      <c r="L251" s="145"/>
    </row>
    <row r="252" spans="1:13" ht="15" customHeight="1" x14ac:dyDescent="0.25">
      <c r="A252" s="142"/>
      <c r="B252" s="80" t="s">
        <v>64</v>
      </c>
      <c r="C252" s="15"/>
      <c r="D252" s="147"/>
      <c r="E252" s="184"/>
      <c r="F252" s="39">
        <f t="shared" si="28"/>
        <v>13.331285196019252</v>
      </c>
      <c r="G252" s="136">
        <f t="shared" si="29"/>
        <v>0</v>
      </c>
      <c r="H252" s="20"/>
      <c r="I252" s="39"/>
      <c r="J252" s="164">
        <f t="shared" si="30"/>
        <v>0</v>
      </c>
      <c r="K252" s="39"/>
      <c r="L252" s="145"/>
    </row>
    <row r="253" spans="1:13" ht="15" customHeight="1" x14ac:dyDescent="0.25">
      <c r="A253" s="142"/>
      <c r="B253" s="80" t="s">
        <v>65</v>
      </c>
      <c r="C253" s="15"/>
      <c r="D253" s="147"/>
      <c r="E253" s="184"/>
      <c r="F253" s="39">
        <f t="shared" si="28"/>
        <v>13.331285196019252</v>
      </c>
      <c r="G253" s="136">
        <f t="shared" si="29"/>
        <v>0</v>
      </c>
      <c r="H253" s="20"/>
      <c r="I253" s="39"/>
      <c r="J253" s="164">
        <f t="shared" si="30"/>
        <v>0</v>
      </c>
      <c r="K253" s="39"/>
      <c r="L253" s="145"/>
    </row>
    <row r="254" spans="1:13" ht="15" customHeight="1" x14ac:dyDescent="0.25">
      <c r="A254" s="142"/>
      <c r="B254" s="80" t="s">
        <v>66</v>
      </c>
      <c r="C254" s="15"/>
      <c r="D254" s="147"/>
      <c r="E254" s="184"/>
      <c r="F254" s="39">
        <f t="shared" si="28"/>
        <v>13.331285196019252</v>
      </c>
      <c r="G254" s="136">
        <f t="shared" si="29"/>
        <v>0</v>
      </c>
      <c r="H254" s="20"/>
      <c r="I254" s="39"/>
      <c r="J254" s="164">
        <f t="shared" si="30"/>
        <v>0</v>
      </c>
      <c r="K254" s="39"/>
      <c r="L254" s="145"/>
    </row>
    <row r="255" spans="1:13" ht="15" customHeight="1" x14ac:dyDescent="0.25">
      <c r="A255" s="142"/>
      <c r="B255" s="80" t="s">
        <v>178</v>
      </c>
      <c r="C255" s="15"/>
      <c r="D255" s="147"/>
      <c r="E255" s="184">
        <f>1*$L$7</f>
        <v>1</v>
      </c>
      <c r="F255" s="39">
        <f t="shared" si="28"/>
        <v>13.331285196019252</v>
      </c>
      <c r="G255" s="136">
        <f t="shared" si="29"/>
        <v>13.331285196019252</v>
      </c>
      <c r="H255" s="20"/>
      <c r="I255" s="39">
        <v>5000</v>
      </c>
      <c r="J255" s="164">
        <f t="shared" si="30"/>
        <v>66656.425980096261</v>
      </c>
      <c r="K255" s="39"/>
      <c r="L255" s="145" t="s">
        <v>211</v>
      </c>
    </row>
    <row r="256" spans="1:13" ht="15" customHeight="1" x14ac:dyDescent="0.25">
      <c r="A256" s="142"/>
      <c r="B256" s="80" t="s">
        <v>166</v>
      </c>
      <c r="C256" s="15"/>
      <c r="D256" s="147"/>
      <c r="E256" s="184">
        <f>1*$L$7</f>
        <v>1</v>
      </c>
      <c r="F256" s="39">
        <f t="shared" si="28"/>
        <v>13.331285196019252</v>
      </c>
      <c r="G256" s="136">
        <f t="shared" si="29"/>
        <v>13.331285196019252</v>
      </c>
      <c r="H256" s="20"/>
      <c r="I256" s="39">
        <v>2000</v>
      </c>
      <c r="J256" s="164">
        <f t="shared" si="30"/>
        <v>26662.570392038502</v>
      </c>
      <c r="K256" s="39"/>
      <c r="L256" s="145"/>
    </row>
    <row r="257" spans="1:12" ht="15" customHeight="1" x14ac:dyDescent="0.25">
      <c r="A257" s="142"/>
      <c r="B257" s="80" t="s">
        <v>67</v>
      </c>
      <c r="C257" s="15"/>
      <c r="D257" s="147"/>
      <c r="E257" s="184"/>
      <c r="F257" s="39">
        <f t="shared" si="28"/>
        <v>13.331285196019252</v>
      </c>
      <c r="G257" s="136">
        <f t="shared" si="29"/>
        <v>0</v>
      </c>
      <c r="H257" s="20"/>
      <c r="I257" s="39"/>
      <c r="J257" s="164">
        <f t="shared" si="30"/>
        <v>0</v>
      </c>
      <c r="K257" s="39"/>
      <c r="L257" s="145"/>
    </row>
    <row r="258" spans="1:12" ht="15" customHeight="1" x14ac:dyDescent="0.25">
      <c r="A258" s="142"/>
      <c r="B258" s="80" t="s">
        <v>68</v>
      </c>
      <c r="C258" s="15"/>
      <c r="D258" s="147"/>
      <c r="E258" s="184"/>
      <c r="F258" s="39">
        <f t="shared" si="28"/>
        <v>13.331285196019252</v>
      </c>
      <c r="G258" s="136">
        <f t="shared" si="29"/>
        <v>0</v>
      </c>
      <c r="H258" s="20"/>
      <c r="I258" s="39"/>
      <c r="J258" s="164">
        <f t="shared" si="30"/>
        <v>0</v>
      </c>
      <c r="K258" s="39"/>
      <c r="L258" s="145"/>
    </row>
    <row r="259" spans="1:12" ht="15" customHeight="1" x14ac:dyDescent="0.25">
      <c r="A259" s="142"/>
      <c r="B259" s="80" t="s">
        <v>69</v>
      </c>
      <c r="C259" s="15"/>
      <c r="D259" s="147"/>
      <c r="E259" s="184"/>
      <c r="F259" s="39">
        <f t="shared" si="28"/>
        <v>13.331285196019252</v>
      </c>
      <c r="G259" s="136">
        <f t="shared" si="29"/>
        <v>0</v>
      </c>
      <c r="H259" s="20"/>
      <c r="I259" s="39"/>
      <c r="J259" s="164">
        <f t="shared" si="30"/>
        <v>0</v>
      </c>
      <c r="K259" s="39"/>
      <c r="L259" s="145"/>
    </row>
    <row r="260" spans="1:12" ht="15" customHeight="1" x14ac:dyDescent="0.25">
      <c r="A260" s="142"/>
      <c r="B260" s="80" t="s">
        <v>70</v>
      </c>
      <c r="C260" s="15"/>
      <c r="D260" s="147"/>
      <c r="E260" s="184"/>
      <c r="F260" s="39">
        <f t="shared" si="28"/>
        <v>13.331285196019252</v>
      </c>
      <c r="G260" s="136">
        <f t="shared" si="29"/>
        <v>0</v>
      </c>
      <c r="H260" s="20"/>
      <c r="I260" s="39"/>
      <c r="J260" s="164">
        <f t="shared" si="30"/>
        <v>0</v>
      </c>
      <c r="K260" s="39"/>
      <c r="L260" s="145"/>
    </row>
    <row r="261" spans="1:12" ht="15" customHeight="1" x14ac:dyDescent="0.25">
      <c r="A261" s="142"/>
      <c r="B261" s="80" t="s">
        <v>71</v>
      </c>
      <c r="C261" s="15"/>
      <c r="D261" s="147"/>
      <c r="E261" s="184">
        <f>1*$L$7</f>
        <v>1</v>
      </c>
      <c r="F261" s="39">
        <f t="shared" si="28"/>
        <v>13.331285196019252</v>
      </c>
      <c r="G261" s="136">
        <f t="shared" si="29"/>
        <v>13.331285196019252</v>
      </c>
      <c r="H261" s="20"/>
      <c r="I261" s="39">
        <v>2000</v>
      </c>
      <c r="J261" s="164">
        <f t="shared" si="30"/>
        <v>26662.570392038502</v>
      </c>
      <c r="K261" s="39"/>
      <c r="L261" s="145"/>
    </row>
    <row r="262" spans="1:12" ht="15" customHeight="1" x14ac:dyDescent="0.25">
      <c r="A262" s="142"/>
      <c r="B262" s="80" t="s">
        <v>72</v>
      </c>
      <c r="C262" s="15"/>
      <c r="D262" s="147"/>
      <c r="E262" s="184"/>
      <c r="F262" s="39">
        <f t="shared" si="28"/>
        <v>13.331285196019252</v>
      </c>
      <c r="G262" s="136">
        <f t="shared" si="29"/>
        <v>0</v>
      </c>
      <c r="H262" s="20"/>
      <c r="I262" s="39"/>
      <c r="J262" s="164">
        <f t="shared" si="30"/>
        <v>0</v>
      </c>
      <c r="K262" s="39"/>
      <c r="L262" s="145"/>
    </row>
    <row r="263" spans="1:12" ht="15" customHeight="1" x14ac:dyDescent="0.25">
      <c r="A263" s="142"/>
      <c r="B263" s="80" t="s">
        <v>73</v>
      </c>
      <c r="C263" s="15"/>
      <c r="D263" s="147"/>
      <c r="E263" s="184"/>
      <c r="F263" s="39">
        <f t="shared" si="28"/>
        <v>13.331285196019252</v>
      </c>
      <c r="G263" s="136">
        <f t="shared" si="29"/>
        <v>0</v>
      </c>
      <c r="H263" s="20"/>
      <c r="I263" s="39"/>
      <c r="J263" s="164">
        <f t="shared" si="30"/>
        <v>0</v>
      </c>
      <c r="K263" s="39"/>
      <c r="L263" s="145"/>
    </row>
    <row r="264" spans="1:12" ht="15" customHeight="1" x14ac:dyDescent="0.25">
      <c r="A264" s="142"/>
      <c r="B264" s="80" t="s">
        <v>74</v>
      </c>
      <c r="C264" s="15"/>
      <c r="D264" s="147"/>
      <c r="E264" s="184"/>
      <c r="F264" s="39">
        <f t="shared" si="28"/>
        <v>13.331285196019252</v>
      </c>
      <c r="G264" s="136">
        <f t="shared" si="29"/>
        <v>0</v>
      </c>
      <c r="H264" s="20"/>
      <c r="I264" s="39"/>
      <c r="J264" s="164">
        <f t="shared" si="30"/>
        <v>0</v>
      </c>
      <c r="K264" s="39"/>
      <c r="L264" s="145"/>
    </row>
    <row r="265" spans="1:12" ht="15" customHeight="1" x14ac:dyDescent="0.25">
      <c r="A265" s="142"/>
      <c r="B265" s="80" t="s">
        <v>41</v>
      </c>
      <c r="C265" s="15"/>
      <c r="D265" s="20"/>
      <c r="E265" s="184"/>
      <c r="F265" s="39">
        <f t="shared" si="28"/>
        <v>13.331285196019252</v>
      </c>
      <c r="G265" s="136">
        <f t="shared" si="29"/>
        <v>0</v>
      </c>
      <c r="H265" s="20"/>
      <c r="I265" s="39"/>
      <c r="J265" s="164">
        <f t="shared" si="30"/>
        <v>0</v>
      </c>
      <c r="K265" s="39"/>
      <c r="L265" s="145"/>
    </row>
    <row r="266" spans="1:12" ht="15" customHeight="1" x14ac:dyDescent="0.25">
      <c r="A266" s="142"/>
      <c r="B266" s="136" t="s">
        <v>42</v>
      </c>
      <c r="C266" s="15"/>
      <c r="D266" s="20"/>
      <c r="E266" s="184">
        <f>SUM(E248:E265)</f>
        <v>3</v>
      </c>
      <c r="F266" s="39"/>
      <c r="G266" s="136"/>
      <c r="H266" s="20"/>
      <c r="I266" s="39"/>
      <c r="J266" s="164"/>
      <c r="K266" s="39"/>
      <c r="L266" s="197"/>
    </row>
    <row r="267" spans="1:12" ht="15" customHeight="1" x14ac:dyDescent="0.25">
      <c r="A267" s="138"/>
      <c r="B267" s="65"/>
      <c r="C267" s="65"/>
      <c r="D267" s="65"/>
      <c r="E267" s="65"/>
      <c r="F267" s="80" t="s">
        <v>45</v>
      </c>
      <c r="G267" s="15"/>
      <c r="H267" s="15"/>
      <c r="I267" s="20"/>
      <c r="J267" s="164">
        <f>SUM(J248:J266)</f>
        <v>119981.56676417326</v>
      </c>
      <c r="K267" s="24"/>
      <c r="L267" s="73"/>
    </row>
    <row r="268" spans="1:12" ht="15" customHeight="1" x14ac:dyDescent="0.25">
      <c r="A268" s="138"/>
      <c r="B268" s="65"/>
      <c r="C268" s="65"/>
      <c r="D268" s="65"/>
      <c r="E268" s="65"/>
      <c r="F268" s="80" t="s">
        <v>183</v>
      </c>
      <c r="G268" s="15"/>
      <c r="H268" s="15"/>
      <c r="I268" s="20"/>
      <c r="J268" s="164"/>
      <c r="K268" s="24"/>
      <c r="L268" s="73"/>
    </row>
    <row r="269" spans="1:12" ht="15" customHeight="1" x14ac:dyDescent="0.25">
      <c r="A269" s="138"/>
      <c r="B269" s="65"/>
      <c r="C269" s="65"/>
      <c r="D269" s="65"/>
      <c r="E269" s="65"/>
      <c r="F269" s="136" t="s">
        <v>150</v>
      </c>
      <c r="G269" s="15"/>
      <c r="H269" s="15"/>
      <c r="I269" s="20"/>
      <c r="J269" s="166">
        <f>SUM(J267:J268)</f>
        <v>119981.56676417326</v>
      </c>
      <c r="K269" s="24"/>
      <c r="L269" s="73"/>
    </row>
    <row r="270" spans="1:12" ht="15" customHeight="1" thickBot="1" x14ac:dyDescent="0.3">
      <c r="A270" s="140"/>
      <c r="B270" s="105"/>
      <c r="C270" s="105"/>
      <c r="D270" s="105"/>
      <c r="E270" s="105"/>
      <c r="F270" s="210"/>
      <c r="G270" s="105"/>
      <c r="H270" s="105"/>
      <c r="I270" s="105"/>
      <c r="J270" s="106"/>
      <c r="K270" s="106"/>
      <c r="L270" s="141"/>
    </row>
    <row r="271" spans="1:12" ht="15" customHeight="1" thickTop="1" x14ac:dyDescent="0.25">
      <c r="A271" s="211" t="s">
        <v>76</v>
      </c>
      <c r="B271" s="257" t="s">
        <v>225</v>
      </c>
      <c r="C271" s="258"/>
      <c r="D271" s="258"/>
      <c r="E271" s="258"/>
      <c r="F271" s="258"/>
      <c r="G271" s="258"/>
      <c r="H271" s="258"/>
      <c r="I271" s="258"/>
      <c r="J271" s="258"/>
      <c r="K271" s="258"/>
      <c r="L271" s="259"/>
    </row>
    <row r="272" spans="1:12" ht="15" customHeight="1" x14ac:dyDescent="0.25">
      <c r="A272" s="153" t="s">
        <v>44</v>
      </c>
      <c r="B272" s="136" t="s">
        <v>19</v>
      </c>
      <c r="C272" s="15"/>
      <c r="D272" s="15"/>
      <c r="E272" s="15"/>
      <c r="F272" s="20"/>
      <c r="G272" s="24" t="s">
        <v>20</v>
      </c>
      <c r="H272" s="96" t="s">
        <v>21</v>
      </c>
      <c r="I272" s="96" t="s">
        <v>37</v>
      </c>
      <c r="J272" s="136" t="s">
        <v>38</v>
      </c>
      <c r="K272" s="137"/>
      <c r="L272" s="98" t="s">
        <v>194</v>
      </c>
    </row>
    <row r="273" spans="1:12" ht="15" customHeight="1" x14ac:dyDescent="0.25">
      <c r="A273" s="142" t="s">
        <v>23</v>
      </c>
      <c r="B273" s="136" t="s">
        <v>39</v>
      </c>
      <c r="C273" s="15"/>
      <c r="D273" s="15"/>
      <c r="E273" s="15"/>
      <c r="F273" s="20"/>
      <c r="G273" s="96"/>
      <c r="H273" s="164"/>
      <c r="I273" s="148"/>
      <c r="J273" s="80"/>
      <c r="K273" s="147"/>
      <c r="L273" s="73"/>
    </row>
    <row r="274" spans="1:12" ht="15" customHeight="1" x14ac:dyDescent="0.25">
      <c r="A274" s="142"/>
      <c r="B274" s="80" t="s">
        <v>77</v>
      </c>
      <c r="C274" s="15"/>
      <c r="D274" s="15"/>
      <c r="E274" s="15"/>
      <c r="F274" s="20"/>
      <c r="G274" s="96"/>
      <c r="H274" s="164"/>
      <c r="I274" s="148"/>
      <c r="J274" s="80">
        <f>H274*I274</f>
        <v>0</v>
      </c>
      <c r="K274" s="147"/>
      <c r="L274" s="145"/>
    </row>
    <row r="275" spans="1:12" ht="15" customHeight="1" x14ac:dyDescent="0.25">
      <c r="A275" s="142"/>
      <c r="B275" s="80" t="s">
        <v>78</v>
      </c>
      <c r="C275" s="15"/>
      <c r="D275" s="15"/>
      <c r="E275" s="15"/>
      <c r="F275" s="20"/>
      <c r="G275" s="96"/>
      <c r="H275" s="164"/>
      <c r="I275" s="148"/>
      <c r="J275" s="80">
        <f t="shared" ref="J275:J309" si="31">H275*I275</f>
        <v>0</v>
      </c>
      <c r="K275" s="147"/>
      <c r="L275" s="145"/>
    </row>
    <row r="276" spans="1:12" ht="15" customHeight="1" x14ac:dyDescent="0.25">
      <c r="A276" s="142"/>
      <c r="B276" s="80" t="s">
        <v>79</v>
      </c>
      <c r="C276" s="15"/>
      <c r="D276" s="15"/>
      <c r="E276" s="15"/>
      <c r="F276" s="20"/>
      <c r="G276" s="96"/>
      <c r="H276" s="164"/>
      <c r="I276" s="148"/>
      <c r="J276" s="80">
        <f t="shared" si="31"/>
        <v>0</v>
      </c>
      <c r="K276" s="147"/>
      <c r="L276" s="145"/>
    </row>
    <row r="277" spans="1:12" ht="15" customHeight="1" x14ac:dyDescent="0.25">
      <c r="A277" s="212"/>
      <c r="B277" s="80" t="s">
        <v>41</v>
      </c>
      <c r="C277" s="15"/>
      <c r="D277" s="15"/>
      <c r="E277" s="15"/>
      <c r="F277" s="20"/>
      <c r="G277" s="96"/>
      <c r="H277" s="164"/>
      <c r="I277" s="148"/>
      <c r="J277" s="80">
        <f t="shared" si="31"/>
        <v>0</v>
      </c>
      <c r="K277" s="147"/>
      <c r="L277" s="145"/>
    </row>
    <row r="278" spans="1:12" ht="15" customHeight="1" x14ac:dyDescent="0.25">
      <c r="A278" s="174"/>
      <c r="B278" s="18"/>
      <c r="C278" s="15"/>
      <c r="D278" s="15"/>
      <c r="E278" s="15"/>
      <c r="F278" s="20"/>
      <c r="G278" s="96"/>
      <c r="H278" s="164"/>
      <c r="I278" s="148"/>
      <c r="J278" s="80">
        <f t="shared" si="31"/>
        <v>0</v>
      </c>
      <c r="K278" s="147"/>
      <c r="L278" s="145"/>
    </row>
    <row r="279" spans="1:12" ht="15" customHeight="1" x14ac:dyDescent="0.25">
      <c r="A279" s="198" t="s">
        <v>24</v>
      </c>
      <c r="B279" s="136" t="s">
        <v>80</v>
      </c>
      <c r="C279" s="15"/>
      <c r="D279" s="15"/>
      <c r="E279" s="15"/>
      <c r="F279" s="20"/>
      <c r="G279" s="96"/>
      <c r="H279" s="164"/>
      <c r="I279" s="148"/>
      <c r="J279" s="80">
        <f t="shared" si="31"/>
        <v>0</v>
      </c>
      <c r="K279" s="147"/>
      <c r="L279" s="145"/>
    </row>
    <row r="280" spans="1:12" ht="15" customHeight="1" x14ac:dyDescent="0.25">
      <c r="A280" s="142"/>
      <c r="B280" s="80" t="s">
        <v>81</v>
      </c>
      <c r="C280" s="15"/>
      <c r="D280" s="15"/>
      <c r="E280" s="15"/>
      <c r="F280" s="20"/>
      <c r="G280" s="96"/>
      <c r="H280" s="164"/>
      <c r="I280" s="148"/>
      <c r="J280" s="80">
        <f t="shared" si="31"/>
        <v>0</v>
      </c>
      <c r="K280" s="147"/>
      <c r="L280" s="145"/>
    </row>
    <row r="281" spans="1:12" ht="15" customHeight="1" x14ac:dyDescent="0.25">
      <c r="A281" s="142"/>
      <c r="B281" s="80" t="s">
        <v>40</v>
      </c>
      <c r="C281" s="15"/>
      <c r="D281" s="15"/>
      <c r="E281" s="15"/>
      <c r="F281" s="20"/>
      <c r="G281" s="96"/>
      <c r="H281" s="164"/>
      <c r="I281" s="148"/>
      <c r="J281" s="80">
        <f t="shared" si="31"/>
        <v>0</v>
      </c>
      <c r="K281" s="147"/>
      <c r="L281" s="145"/>
    </row>
    <row r="282" spans="1:12" ht="15" customHeight="1" x14ac:dyDescent="0.25">
      <c r="A282" s="142"/>
      <c r="B282" s="80" t="s">
        <v>82</v>
      </c>
      <c r="C282" s="15"/>
      <c r="D282" s="15"/>
      <c r="E282" s="15"/>
      <c r="F282" s="20"/>
      <c r="G282" s="96"/>
      <c r="H282" s="164"/>
      <c r="I282" s="148"/>
      <c r="J282" s="80">
        <f t="shared" si="31"/>
        <v>0</v>
      </c>
      <c r="K282" s="147"/>
      <c r="L282" s="145"/>
    </row>
    <row r="283" spans="1:12" ht="15" customHeight="1" x14ac:dyDescent="0.25">
      <c r="A283" s="142"/>
      <c r="B283" s="80" t="s">
        <v>83</v>
      </c>
      <c r="C283" s="15"/>
      <c r="D283" s="15"/>
      <c r="E283" s="15"/>
      <c r="F283" s="20"/>
      <c r="G283" s="96"/>
      <c r="H283" s="164"/>
      <c r="I283" s="148"/>
      <c r="J283" s="80">
        <f t="shared" si="31"/>
        <v>0</v>
      </c>
      <c r="K283" s="147"/>
      <c r="L283" s="145"/>
    </row>
    <row r="284" spans="1:12" ht="15" customHeight="1" x14ac:dyDescent="0.25">
      <c r="A284" s="142"/>
      <c r="B284" s="80" t="s">
        <v>84</v>
      </c>
      <c r="C284" s="15"/>
      <c r="D284" s="15"/>
      <c r="E284" s="15"/>
      <c r="F284" s="20"/>
      <c r="G284" s="96"/>
      <c r="H284" s="164"/>
      <c r="I284" s="148"/>
      <c r="J284" s="80">
        <f t="shared" si="31"/>
        <v>0</v>
      </c>
      <c r="K284" s="147"/>
      <c r="L284" s="145"/>
    </row>
    <row r="285" spans="1:12" ht="15" customHeight="1" x14ac:dyDescent="0.25">
      <c r="A285" s="142"/>
      <c r="B285" s="80" t="s">
        <v>85</v>
      </c>
      <c r="C285" s="15"/>
      <c r="D285" s="15"/>
      <c r="E285" s="15"/>
      <c r="F285" s="20"/>
      <c r="G285" s="96"/>
      <c r="H285" s="164"/>
      <c r="I285" s="148"/>
      <c r="J285" s="80">
        <f t="shared" si="31"/>
        <v>0</v>
      </c>
      <c r="K285" s="147"/>
      <c r="L285" s="145"/>
    </row>
    <row r="286" spans="1:12" ht="15" customHeight="1" x14ac:dyDescent="0.25">
      <c r="A286" s="142"/>
      <c r="B286" s="80" t="s">
        <v>86</v>
      </c>
      <c r="C286" s="15"/>
      <c r="D286" s="15"/>
      <c r="E286" s="15"/>
      <c r="F286" s="20"/>
      <c r="G286" s="96"/>
      <c r="H286" s="164"/>
      <c r="I286" s="148"/>
      <c r="J286" s="80">
        <f t="shared" si="31"/>
        <v>0</v>
      </c>
      <c r="K286" s="147"/>
      <c r="L286" s="145"/>
    </row>
    <row r="287" spans="1:12" ht="15" customHeight="1" x14ac:dyDescent="0.25">
      <c r="A287" s="212"/>
      <c r="B287" s="80" t="s">
        <v>41</v>
      </c>
      <c r="C287" s="15"/>
      <c r="D287" s="15"/>
      <c r="E287" s="15"/>
      <c r="F287" s="20"/>
      <c r="G287" s="96"/>
      <c r="H287" s="164"/>
      <c r="I287" s="148"/>
      <c r="J287" s="80">
        <f t="shared" si="31"/>
        <v>0</v>
      </c>
      <c r="K287" s="147"/>
      <c r="L287" s="145"/>
    </row>
    <row r="288" spans="1:12" ht="15" customHeight="1" x14ac:dyDescent="0.25">
      <c r="A288" s="174"/>
      <c r="B288" s="18"/>
      <c r="C288" s="15"/>
      <c r="D288" s="15"/>
      <c r="E288" s="15"/>
      <c r="F288" s="20"/>
      <c r="G288" s="96"/>
      <c r="H288" s="164"/>
      <c r="I288" s="148"/>
      <c r="J288" s="80">
        <f t="shared" si="31"/>
        <v>0</v>
      </c>
      <c r="K288" s="147"/>
      <c r="L288" s="145"/>
    </row>
    <row r="289" spans="1:12" ht="15" customHeight="1" x14ac:dyDescent="0.25">
      <c r="A289" s="198" t="s">
        <v>25</v>
      </c>
      <c r="B289" s="136" t="s">
        <v>87</v>
      </c>
      <c r="C289" s="15"/>
      <c r="D289" s="15"/>
      <c r="E289" s="15"/>
      <c r="F289" s="20"/>
      <c r="G289" s="96"/>
      <c r="H289" s="164"/>
      <c r="I289" s="148"/>
      <c r="J289" s="80">
        <f t="shared" si="31"/>
        <v>0</v>
      </c>
      <c r="K289" s="147"/>
      <c r="L289" s="145"/>
    </row>
    <row r="290" spans="1:12" ht="15" customHeight="1" x14ac:dyDescent="0.25">
      <c r="A290" s="142"/>
      <c r="B290" s="80" t="s">
        <v>88</v>
      </c>
      <c r="C290" s="15"/>
      <c r="D290" s="15"/>
      <c r="E290" s="15"/>
      <c r="F290" s="20"/>
      <c r="G290" s="96"/>
      <c r="H290" s="164"/>
      <c r="I290" s="148"/>
      <c r="J290" s="80">
        <f t="shared" si="31"/>
        <v>0</v>
      </c>
      <c r="K290" s="147"/>
      <c r="L290" s="145"/>
    </row>
    <row r="291" spans="1:12" ht="15" customHeight="1" x14ac:dyDescent="0.25">
      <c r="A291" s="142"/>
      <c r="B291" s="80" t="s">
        <v>89</v>
      </c>
      <c r="C291" s="15"/>
      <c r="D291" s="15"/>
      <c r="E291" s="15"/>
      <c r="F291" s="20"/>
      <c r="G291" s="96"/>
      <c r="H291" s="164"/>
      <c r="I291" s="148"/>
      <c r="J291" s="80">
        <f t="shared" si="31"/>
        <v>0</v>
      </c>
      <c r="K291" s="147"/>
      <c r="L291" s="145"/>
    </row>
    <row r="292" spans="1:12" ht="15" customHeight="1" x14ac:dyDescent="0.25">
      <c r="A292" s="212"/>
      <c r="B292" s="80" t="s">
        <v>41</v>
      </c>
      <c r="C292" s="15"/>
      <c r="D292" s="15"/>
      <c r="E292" s="15"/>
      <c r="F292" s="20"/>
      <c r="G292" s="96"/>
      <c r="H292" s="164"/>
      <c r="I292" s="148"/>
      <c r="J292" s="80">
        <f t="shared" si="31"/>
        <v>0</v>
      </c>
      <c r="K292" s="147"/>
      <c r="L292" s="145"/>
    </row>
    <row r="293" spans="1:12" ht="15" customHeight="1" x14ac:dyDescent="0.25">
      <c r="A293" s="174"/>
      <c r="B293" s="18"/>
      <c r="C293" s="15"/>
      <c r="D293" s="15"/>
      <c r="E293" s="15"/>
      <c r="F293" s="20"/>
      <c r="G293" s="96"/>
      <c r="H293" s="164"/>
      <c r="I293" s="148"/>
      <c r="J293" s="80">
        <f t="shared" si="31"/>
        <v>0</v>
      </c>
      <c r="K293" s="147"/>
      <c r="L293" s="145"/>
    </row>
    <row r="294" spans="1:12" ht="15" customHeight="1" x14ac:dyDescent="0.25">
      <c r="A294" s="198" t="s">
        <v>26</v>
      </c>
      <c r="B294" s="136" t="s">
        <v>90</v>
      </c>
      <c r="C294" s="15"/>
      <c r="D294" s="15"/>
      <c r="E294" s="15"/>
      <c r="F294" s="20"/>
      <c r="G294" s="96"/>
      <c r="H294" s="164"/>
      <c r="I294" s="148"/>
      <c r="J294" s="80">
        <f t="shared" si="31"/>
        <v>0</v>
      </c>
      <c r="K294" s="147"/>
      <c r="L294" s="145"/>
    </row>
    <row r="295" spans="1:12" ht="15" customHeight="1" x14ac:dyDescent="0.25">
      <c r="A295" s="142"/>
      <c r="B295" s="80" t="s">
        <v>91</v>
      </c>
      <c r="C295" s="15"/>
      <c r="D295" s="15"/>
      <c r="E295" s="15"/>
      <c r="F295" s="20"/>
      <c r="G295" s="96"/>
      <c r="H295" s="164"/>
      <c r="I295" s="148"/>
      <c r="J295" s="80">
        <f t="shared" si="31"/>
        <v>0</v>
      </c>
      <c r="K295" s="147"/>
      <c r="L295" s="145"/>
    </row>
    <row r="296" spans="1:12" ht="15" customHeight="1" x14ac:dyDescent="0.25">
      <c r="A296" s="142"/>
      <c r="B296" s="80" t="s">
        <v>92</v>
      </c>
      <c r="C296" s="15"/>
      <c r="D296" s="15"/>
      <c r="E296" s="15"/>
      <c r="F296" s="20"/>
      <c r="G296" s="96"/>
      <c r="H296" s="164"/>
      <c r="I296" s="148"/>
      <c r="J296" s="80">
        <f t="shared" si="31"/>
        <v>0</v>
      </c>
      <c r="K296" s="147"/>
      <c r="L296" s="145"/>
    </row>
    <row r="297" spans="1:12" ht="15" customHeight="1" x14ac:dyDescent="0.25">
      <c r="A297" s="142"/>
      <c r="B297" s="80" t="s">
        <v>93</v>
      </c>
      <c r="C297" s="15"/>
      <c r="D297" s="15"/>
      <c r="E297" s="15"/>
      <c r="F297" s="20"/>
      <c r="G297" s="96"/>
      <c r="H297" s="164"/>
      <c r="I297" s="148"/>
      <c r="J297" s="80">
        <f t="shared" si="31"/>
        <v>0</v>
      </c>
      <c r="K297" s="147"/>
      <c r="L297" s="145"/>
    </row>
    <row r="298" spans="1:12" ht="15" customHeight="1" x14ac:dyDescent="0.25">
      <c r="A298" s="212"/>
      <c r="B298" s="80" t="s">
        <v>41</v>
      </c>
      <c r="C298" s="15"/>
      <c r="D298" s="15"/>
      <c r="E298" s="15"/>
      <c r="F298" s="20"/>
      <c r="G298" s="96"/>
      <c r="H298" s="164"/>
      <c r="I298" s="148"/>
      <c r="J298" s="80">
        <f t="shared" si="31"/>
        <v>0</v>
      </c>
      <c r="K298" s="147"/>
      <c r="L298" s="145"/>
    </row>
    <row r="299" spans="1:12" ht="15" customHeight="1" x14ac:dyDescent="0.25">
      <c r="A299" s="198" t="s">
        <v>27</v>
      </c>
      <c r="B299" s="136" t="s">
        <v>94</v>
      </c>
      <c r="C299" s="15"/>
      <c r="D299" s="15"/>
      <c r="E299" s="15"/>
      <c r="F299" s="20"/>
      <c r="G299" s="96"/>
      <c r="H299" s="164"/>
      <c r="I299" s="148"/>
      <c r="J299" s="80">
        <f t="shared" si="31"/>
        <v>0</v>
      </c>
      <c r="K299" s="147"/>
      <c r="L299" s="145"/>
    </row>
    <row r="300" spans="1:12" ht="15" customHeight="1" x14ac:dyDescent="0.25">
      <c r="A300" s="142"/>
      <c r="B300" s="80" t="s">
        <v>91</v>
      </c>
      <c r="C300" s="15"/>
      <c r="D300" s="15"/>
      <c r="E300" s="15"/>
      <c r="F300" s="20"/>
      <c r="G300" s="96"/>
      <c r="H300" s="164"/>
      <c r="I300" s="148"/>
      <c r="J300" s="80">
        <f t="shared" si="31"/>
        <v>0</v>
      </c>
      <c r="K300" s="147"/>
      <c r="L300" s="145"/>
    </row>
    <row r="301" spans="1:12" ht="15" customHeight="1" x14ac:dyDescent="0.25">
      <c r="A301" s="142"/>
      <c r="B301" s="80" t="s">
        <v>95</v>
      </c>
      <c r="C301" s="15"/>
      <c r="D301" s="15"/>
      <c r="E301" s="15"/>
      <c r="F301" s="20"/>
      <c r="G301" s="96"/>
      <c r="H301" s="164"/>
      <c r="I301" s="148"/>
      <c r="J301" s="80">
        <f t="shared" si="31"/>
        <v>0</v>
      </c>
      <c r="K301" s="147"/>
      <c r="L301" s="145"/>
    </row>
    <row r="302" spans="1:12" ht="15" customHeight="1" x14ac:dyDescent="0.25">
      <c r="A302" s="142"/>
      <c r="B302" s="80" t="s">
        <v>96</v>
      </c>
      <c r="C302" s="15"/>
      <c r="D302" s="15"/>
      <c r="E302" s="15"/>
      <c r="F302" s="20"/>
      <c r="G302" s="96"/>
      <c r="H302" s="164"/>
      <c r="I302" s="148"/>
      <c r="J302" s="80">
        <f t="shared" si="31"/>
        <v>0</v>
      </c>
      <c r="K302" s="147"/>
      <c r="L302" s="145"/>
    </row>
    <row r="303" spans="1:12" ht="15" customHeight="1" x14ac:dyDescent="0.25">
      <c r="A303" s="212"/>
      <c r="B303" s="80" t="s">
        <v>41</v>
      </c>
      <c r="C303" s="15"/>
      <c r="D303" s="15"/>
      <c r="E303" s="15"/>
      <c r="F303" s="20"/>
      <c r="G303" s="96"/>
      <c r="H303" s="164"/>
      <c r="I303" s="148"/>
      <c r="J303" s="80">
        <f t="shared" si="31"/>
        <v>0</v>
      </c>
      <c r="K303" s="147"/>
      <c r="L303" s="145"/>
    </row>
    <row r="304" spans="1:12" ht="15" customHeight="1" x14ac:dyDescent="0.25">
      <c r="A304" s="198" t="s">
        <v>28</v>
      </c>
      <c r="B304" s="136" t="s">
        <v>97</v>
      </c>
      <c r="C304" s="15"/>
      <c r="D304" s="15"/>
      <c r="E304" s="15"/>
      <c r="F304" s="20"/>
      <c r="G304" s="96"/>
      <c r="H304" s="164"/>
      <c r="I304" s="148"/>
      <c r="J304" s="80">
        <f t="shared" si="31"/>
        <v>0</v>
      </c>
      <c r="K304" s="147"/>
      <c r="L304" s="145"/>
    </row>
    <row r="305" spans="1:12" ht="15" customHeight="1" x14ac:dyDescent="0.25">
      <c r="A305" s="142"/>
      <c r="B305" s="80" t="s">
        <v>98</v>
      </c>
      <c r="C305" s="15"/>
      <c r="D305" s="15"/>
      <c r="E305" s="15"/>
      <c r="F305" s="20"/>
      <c r="G305" s="96"/>
      <c r="H305" s="164"/>
      <c r="I305" s="148"/>
      <c r="J305" s="80">
        <f t="shared" si="31"/>
        <v>0</v>
      </c>
      <c r="K305" s="147"/>
      <c r="L305" s="145"/>
    </row>
    <row r="306" spans="1:12" ht="15" customHeight="1" x14ac:dyDescent="0.25">
      <c r="A306" s="142"/>
      <c r="B306" s="80" t="s">
        <v>99</v>
      </c>
      <c r="C306" s="15"/>
      <c r="D306" s="15"/>
      <c r="E306" s="15"/>
      <c r="F306" s="20"/>
      <c r="G306" s="96"/>
      <c r="H306" s="164"/>
      <c r="I306" s="148"/>
      <c r="J306" s="80">
        <f t="shared" si="31"/>
        <v>0</v>
      </c>
      <c r="K306" s="147"/>
      <c r="L306" s="145"/>
    </row>
    <row r="307" spans="1:12" ht="15" customHeight="1" x14ac:dyDescent="0.25">
      <c r="A307" s="142"/>
      <c r="B307" s="80" t="s">
        <v>118</v>
      </c>
      <c r="C307" s="15"/>
      <c r="D307" s="15"/>
      <c r="E307" s="15"/>
      <c r="F307" s="20"/>
      <c r="G307" s="96"/>
      <c r="H307" s="164"/>
      <c r="I307" s="148"/>
      <c r="J307" s="80">
        <f t="shared" si="31"/>
        <v>0</v>
      </c>
      <c r="K307" s="147"/>
      <c r="L307" s="145"/>
    </row>
    <row r="308" spans="1:12" ht="15" customHeight="1" x14ac:dyDescent="0.25">
      <c r="A308" s="142"/>
      <c r="B308" s="80" t="s">
        <v>119</v>
      </c>
      <c r="C308" s="15"/>
      <c r="D308" s="15"/>
      <c r="E308" s="15"/>
      <c r="F308" s="20"/>
      <c r="G308" s="96"/>
      <c r="H308" s="164"/>
      <c r="I308" s="148"/>
      <c r="J308" s="80">
        <f t="shared" si="31"/>
        <v>0</v>
      </c>
      <c r="K308" s="147"/>
      <c r="L308" s="145"/>
    </row>
    <row r="309" spans="1:12" ht="15" customHeight="1" x14ac:dyDescent="0.25">
      <c r="A309" s="142"/>
      <c r="B309" s="80" t="s">
        <v>192</v>
      </c>
      <c r="C309" s="15"/>
      <c r="D309" s="15"/>
      <c r="E309" s="15"/>
      <c r="F309" s="20"/>
      <c r="G309" s="96"/>
      <c r="H309" s="164"/>
      <c r="I309" s="148"/>
      <c r="J309" s="80">
        <f t="shared" si="31"/>
        <v>0</v>
      </c>
      <c r="K309" s="147"/>
      <c r="L309" s="145"/>
    </row>
    <row r="310" spans="1:12" ht="15" customHeight="1" x14ac:dyDescent="0.25">
      <c r="A310" s="138"/>
      <c r="B310" s="65"/>
      <c r="C310" s="65"/>
      <c r="D310" s="65"/>
      <c r="E310" s="65"/>
      <c r="F310" s="65"/>
      <c r="G310" s="65"/>
      <c r="H310" s="80" t="s">
        <v>42</v>
      </c>
      <c r="I310" s="20"/>
      <c r="J310" s="80">
        <f>SUM(J274:K309)</f>
        <v>0</v>
      </c>
      <c r="K310" s="147"/>
      <c r="L310" s="126"/>
    </row>
    <row r="311" spans="1:12" ht="15" customHeight="1" x14ac:dyDescent="0.25">
      <c r="A311" s="138"/>
      <c r="B311" s="65"/>
      <c r="C311" s="65"/>
      <c r="D311" s="65"/>
      <c r="E311" s="65"/>
      <c r="F311" s="65"/>
      <c r="G311" s="65"/>
      <c r="H311" s="80" t="s">
        <v>156</v>
      </c>
      <c r="I311" s="20"/>
      <c r="J311" s="80"/>
      <c r="K311" s="147"/>
      <c r="L311" s="73"/>
    </row>
    <row r="312" spans="1:12" ht="15" customHeight="1" x14ac:dyDescent="0.25">
      <c r="A312" s="138"/>
      <c r="B312" s="65"/>
      <c r="C312" s="65"/>
      <c r="D312" s="65"/>
      <c r="E312" s="65"/>
      <c r="F312" s="65"/>
      <c r="G312" s="65"/>
      <c r="H312" s="136" t="s">
        <v>145</v>
      </c>
      <c r="I312" s="20"/>
      <c r="J312" s="136">
        <f>SUM(J310:J311)</f>
        <v>0</v>
      </c>
      <c r="K312" s="137"/>
      <c r="L312" s="73"/>
    </row>
    <row r="313" spans="1:12" ht="15" customHeight="1" thickBot="1" x14ac:dyDescent="0.3">
      <c r="A313" s="140"/>
      <c r="B313" s="105"/>
      <c r="C313" s="105"/>
      <c r="D313" s="105"/>
      <c r="E313" s="105"/>
      <c r="F313" s="105"/>
      <c r="G313" s="105"/>
      <c r="H313" s="189"/>
      <c r="I313" s="189"/>
      <c r="J313" s="189"/>
      <c r="K313" s="189"/>
      <c r="L313" s="141"/>
    </row>
    <row r="314" spans="1:12" ht="15" customHeight="1" thickTop="1" x14ac:dyDescent="0.25">
      <c r="A314" s="109" t="s">
        <v>100</v>
      </c>
      <c r="B314" s="257" t="s">
        <v>200</v>
      </c>
      <c r="C314" s="258"/>
      <c r="D314" s="258"/>
      <c r="E314" s="258"/>
      <c r="F314" s="258"/>
      <c r="G314" s="258"/>
      <c r="H314" s="258"/>
      <c r="I314" s="258"/>
      <c r="J314" s="258"/>
      <c r="K314" s="258"/>
      <c r="L314" s="259"/>
    </row>
    <row r="315" spans="1:12" ht="15" customHeight="1" x14ac:dyDescent="0.25">
      <c r="A315" s="153" t="s">
        <v>75</v>
      </c>
      <c r="B315" s="127" t="s">
        <v>19</v>
      </c>
      <c r="C315" s="15"/>
      <c r="D315" s="15"/>
      <c r="E315" s="20"/>
      <c r="F315" s="96" t="s">
        <v>20</v>
      </c>
      <c r="G315" s="96" t="s">
        <v>21</v>
      </c>
      <c r="H315" s="127" t="s">
        <v>37</v>
      </c>
      <c r="I315" s="20"/>
      <c r="J315" s="127" t="s">
        <v>38</v>
      </c>
      <c r="K315" s="114"/>
      <c r="L315" s="98" t="s">
        <v>22</v>
      </c>
    </row>
    <row r="316" spans="1:12" ht="15" customHeight="1" x14ac:dyDescent="0.25">
      <c r="A316" s="142"/>
      <c r="B316" s="80"/>
      <c r="C316" s="15"/>
      <c r="D316" s="15"/>
      <c r="E316" s="20"/>
      <c r="F316" s="39"/>
      <c r="G316" s="39"/>
      <c r="H316" s="80"/>
      <c r="I316" s="147"/>
      <c r="J316" s="80">
        <f>G316*H316</f>
        <v>0</v>
      </c>
      <c r="K316" s="147"/>
      <c r="L316" s="73"/>
    </row>
    <row r="317" spans="1:12" ht="15" customHeight="1" x14ac:dyDescent="0.25">
      <c r="A317" s="142"/>
      <c r="B317" s="80"/>
      <c r="C317" s="15"/>
      <c r="D317" s="15"/>
      <c r="E317" s="20"/>
      <c r="F317" s="39"/>
      <c r="G317" s="39"/>
      <c r="H317" s="80"/>
      <c r="I317" s="147"/>
      <c r="J317" s="80">
        <f t="shared" ref="J317:J328" si="32">G317*H317</f>
        <v>0</v>
      </c>
      <c r="K317" s="147"/>
      <c r="L317" s="73"/>
    </row>
    <row r="318" spans="1:12" ht="15" customHeight="1" x14ac:dyDescent="0.25">
      <c r="A318" s="142"/>
      <c r="B318" s="80"/>
      <c r="C318" s="15"/>
      <c r="D318" s="15"/>
      <c r="E318" s="20"/>
      <c r="F318" s="39"/>
      <c r="G318" s="39"/>
      <c r="H318" s="80"/>
      <c r="I318" s="147"/>
      <c r="J318" s="80">
        <f t="shared" si="32"/>
        <v>0</v>
      </c>
      <c r="K318" s="147"/>
      <c r="L318" s="73"/>
    </row>
    <row r="319" spans="1:12" ht="15" customHeight="1" x14ac:dyDescent="0.25">
      <c r="A319" s="142"/>
      <c r="B319" s="80"/>
      <c r="C319" s="15"/>
      <c r="D319" s="15"/>
      <c r="E319" s="20"/>
      <c r="F319" s="39"/>
      <c r="G319" s="39"/>
      <c r="H319" s="80"/>
      <c r="I319" s="147"/>
      <c r="J319" s="80">
        <f t="shared" si="32"/>
        <v>0</v>
      </c>
      <c r="K319" s="147"/>
      <c r="L319" s="73"/>
    </row>
    <row r="320" spans="1:12" ht="15" customHeight="1" x14ac:dyDescent="0.25">
      <c r="A320" s="142"/>
      <c r="B320" s="80"/>
      <c r="C320" s="15"/>
      <c r="D320" s="15"/>
      <c r="E320" s="20"/>
      <c r="F320" s="39"/>
      <c r="G320" s="39"/>
      <c r="H320" s="80"/>
      <c r="I320" s="147"/>
      <c r="J320" s="80">
        <f t="shared" si="32"/>
        <v>0</v>
      </c>
      <c r="K320" s="147"/>
      <c r="L320" s="73"/>
    </row>
    <row r="321" spans="1:12" ht="15" customHeight="1" x14ac:dyDescent="0.25">
      <c r="A321" s="142"/>
      <c r="B321" s="80"/>
      <c r="C321" s="15"/>
      <c r="D321" s="15"/>
      <c r="E321" s="20"/>
      <c r="F321" s="39"/>
      <c r="G321" s="39"/>
      <c r="H321" s="80"/>
      <c r="I321" s="147"/>
      <c r="J321" s="80">
        <f t="shared" si="32"/>
        <v>0</v>
      </c>
      <c r="K321" s="147"/>
      <c r="L321" s="73"/>
    </row>
    <row r="322" spans="1:12" ht="15" customHeight="1" x14ac:dyDescent="0.25">
      <c r="A322" s="142"/>
      <c r="B322" s="80"/>
      <c r="C322" s="15"/>
      <c r="D322" s="15"/>
      <c r="E322" s="20"/>
      <c r="F322" s="39"/>
      <c r="G322" s="39"/>
      <c r="H322" s="80"/>
      <c r="I322" s="147"/>
      <c r="J322" s="80">
        <f t="shared" si="32"/>
        <v>0</v>
      </c>
      <c r="K322" s="147"/>
      <c r="L322" s="73"/>
    </row>
    <row r="323" spans="1:12" ht="15" customHeight="1" x14ac:dyDescent="0.25">
      <c r="A323" s="142"/>
      <c r="B323" s="80"/>
      <c r="C323" s="15"/>
      <c r="D323" s="15"/>
      <c r="E323" s="20"/>
      <c r="F323" s="39"/>
      <c r="G323" s="39"/>
      <c r="H323" s="80"/>
      <c r="I323" s="147"/>
      <c r="J323" s="80">
        <f t="shared" si="32"/>
        <v>0</v>
      </c>
      <c r="K323" s="147"/>
      <c r="L323" s="73"/>
    </row>
    <row r="324" spans="1:12" ht="15" customHeight="1" x14ac:dyDescent="0.25">
      <c r="A324" s="142"/>
      <c r="B324" s="80"/>
      <c r="C324" s="15"/>
      <c r="D324" s="15"/>
      <c r="E324" s="20"/>
      <c r="F324" s="39"/>
      <c r="G324" s="39"/>
      <c r="H324" s="80"/>
      <c r="I324" s="147"/>
      <c r="J324" s="80">
        <f t="shared" si="32"/>
        <v>0</v>
      </c>
      <c r="K324" s="147"/>
      <c r="L324" s="73"/>
    </row>
    <row r="325" spans="1:12" ht="15" customHeight="1" x14ac:dyDescent="0.25">
      <c r="A325" s="142"/>
      <c r="B325" s="80"/>
      <c r="C325" s="15"/>
      <c r="D325" s="15"/>
      <c r="E325" s="20"/>
      <c r="F325" s="39"/>
      <c r="G325" s="39"/>
      <c r="H325" s="80"/>
      <c r="I325" s="147"/>
      <c r="J325" s="80">
        <f t="shared" si="32"/>
        <v>0</v>
      </c>
      <c r="K325" s="147"/>
      <c r="L325" s="73"/>
    </row>
    <row r="326" spans="1:12" ht="15" customHeight="1" x14ac:dyDescent="0.25">
      <c r="A326" s="142"/>
      <c r="B326" s="80"/>
      <c r="C326" s="15"/>
      <c r="D326" s="15"/>
      <c r="E326" s="20"/>
      <c r="F326" s="39"/>
      <c r="G326" s="39"/>
      <c r="H326" s="80"/>
      <c r="I326" s="147"/>
      <c r="J326" s="80">
        <f t="shared" si="32"/>
        <v>0</v>
      </c>
      <c r="K326" s="147"/>
      <c r="L326" s="73"/>
    </row>
    <row r="327" spans="1:12" ht="15" customHeight="1" x14ac:dyDescent="0.25">
      <c r="A327" s="142"/>
      <c r="B327" s="80"/>
      <c r="C327" s="15"/>
      <c r="D327" s="15"/>
      <c r="E327" s="20"/>
      <c r="F327" s="39"/>
      <c r="G327" s="39"/>
      <c r="H327" s="80"/>
      <c r="I327" s="147"/>
      <c r="J327" s="80">
        <f t="shared" si="32"/>
        <v>0</v>
      </c>
      <c r="K327" s="147"/>
      <c r="L327" s="73"/>
    </row>
    <row r="328" spans="1:12" ht="15" customHeight="1" x14ac:dyDescent="0.25">
      <c r="A328" s="142"/>
      <c r="B328" s="80"/>
      <c r="C328" s="15"/>
      <c r="D328" s="15"/>
      <c r="E328" s="20"/>
      <c r="F328" s="39"/>
      <c r="G328" s="39"/>
      <c r="H328" s="80"/>
      <c r="I328" s="147"/>
      <c r="J328" s="80">
        <f t="shared" si="32"/>
        <v>0</v>
      </c>
      <c r="K328" s="147"/>
      <c r="L328" s="73"/>
    </row>
    <row r="329" spans="1:12" ht="15" customHeight="1" x14ac:dyDescent="0.25">
      <c r="A329" s="213"/>
      <c r="B329" s="214" t="s">
        <v>42</v>
      </c>
      <c r="C329" s="49"/>
      <c r="D329" s="49"/>
      <c r="E329" s="49"/>
      <c r="F329" s="161"/>
      <c r="G329" s="161"/>
      <c r="H329" s="80"/>
      <c r="I329" s="147"/>
      <c r="J329" s="136">
        <f>SUM(J316:J328)</f>
        <v>0</v>
      </c>
      <c r="K329" s="20"/>
      <c r="L329" s="73"/>
    </row>
    <row r="330" spans="1:12" ht="15" customHeight="1" thickBot="1" x14ac:dyDescent="0.3">
      <c r="A330" s="140"/>
      <c r="B330" s="105"/>
      <c r="C330" s="105"/>
      <c r="D330" s="105"/>
      <c r="E330" s="105"/>
      <c r="F330" s="105"/>
      <c r="G330" s="105"/>
      <c r="H330" s="105"/>
      <c r="I330" s="105"/>
      <c r="J330" s="105"/>
      <c r="K330" s="105"/>
      <c r="L330" s="141"/>
    </row>
    <row r="331" spans="1:12" ht="15" customHeight="1" thickTop="1" x14ac:dyDescent="0.25">
      <c r="A331" s="109" t="s">
        <v>101</v>
      </c>
      <c r="B331" s="257" t="s">
        <v>132</v>
      </c>
      <c r="C331" s="258"/>
      <c r="D331" s="258"/>
      <c r="E331" s="258"/>
      <c r="F331" s="258"/>
      <c r="G331" s="258"/>
      <c r="H331" s="258"/>
      <c r="I331" s="258"/>
      <c r="J331" s="258"/>
      <c r="K331" s="258"/>
      <c r="L331" s="259"/>
    </row>
    <row r="332" spans="1:12" ht="15" customHeight="1" x14ac:dyDescent="0.25">
      <c r="A332" s="198" t="s">
        <v>44</v>
      </c>
      <c r="B332" s="80" t="s">
        <v>19</v>
      </c>
      <c r="C332" s="15"/>
      <c r="D332" s="147"/>
      <c r="E332" s="175" t="s">
        <v>169</v>
      </c>
      <c r="F332" s="80" t="s">
        <v>21</v>
      </c>
      <c r="G332" s="20"/>
      <c r="H332" s="113" t="s">
        <v>37</v>
      </c>
      <c r="I332" s="114"/>
      <c r="J332" s="80" t="s">
        <v>38</v>
      </c>
      <c r="K332" s="20"/>
      <c r="L332" s="73" t="s">
        <v>22</v>
      </c>
    </row>
    <row r="333" spans="1:12" ht="15" customHeight="1" x14ac:dyDescent="0.25">
      <c r="A333" s="142" t="s">
        <v>23</v>
      </c>
      <c r="B333" s="136" t="s">
        <v>102</v>
      </c>
      <c r="C333" s="15"/>
      <c r="D333" s="20"/>
      <c r="E333" s="39"/>
      <c r="F333" s="80"/>
      <c r="G333" s="20"/>
      <c r="H333" s="113"/>
      <c r="I333" s="114"/>
      <c r="J333" s="80"/>
      <c r="K333" s="20"/>
      <c r="L333" s="73"/>
    </row>
    <row r="334" spans="1:12" ht="15" customHeight="1" x14ac:dyDescent="0.25">
      <c r="A334" s="142"/>
      <c r="B334" s="80" t="s">
        <v>103</v>
      </c>
      <c r="C334" s="15"/>
      <c r="D334" s="147"/>
      <c r="E334" s="39">
        <f>(D14+D27+D28)*1.2*(1+K29)/(1-K30)*(1+K31)</f>
        <v>90340800</v>
      </c>
      <c r="F334" s="80"/>
      <c r="G334" s="20"/>
      <c r="H334" s="113" t="s">
        <v>8</v>
      </c>
      <c r="I334" s="114"/>
      <c r="J334" s="80">
        <f>2/1000*E334</f>
        <v>180681.60000000001</v>
      </c>
      <c r="K334" s="147"/>
      <c r="L334" s="73"/>
    </row>
    <row r="335" spans="1:12" ht="15" customHeight="1" x14ac:dyDescent="0.25">
      <c r="A335" s="142"/>
      <c r="B335" s="80" t="s">
        <v>104</v>
      </c>
      <c r="C335" s="15"/>
      <c r="D335" s="147"/>
      <c r="E335" s="39">
        <f>0.1*E334</f>
        <v>9034080</v>
      </c>
      <c r="F335" s="80"/>
      <c r="G335" s="20"/>
      <c r="H335" s="113" t="s">
        <v>8</v>
      </c>
      <c r="I335" s="114"/>
      <c r="J335" s="80"/>
      <c r="K335" s="147"/>
      <c r="L335" s="73"/>
    </row>
    <row r="336" spans="1:12" ht="15" customHeight="1" x14ac:dyDescent="0.25">
      <c r="A336" s="142"/>
      <c r="B336" s="80" t="s">
        <v>105</v>
      </c>
      <c r="C336" s="15"/>
      <c r="D336" s="147"/>
      <c r="E336" s="39"/>
      <c r="F336" s="80"/>
      <c r="G336" s="20"/>
      <c r="H336" s="113"/>
      <c r="I336" s="114"/>
      <c r="J336" s="80">
        <f>3.5/1000*E336</f>
        <v>0</v>
      </c>
      <c r="K336" s="147"/>
      <c r="L336" s="73"/>
    </row>
    <row r="337" spans="1:13" ht="15" customHeight="1" x14ac:dyDescent="0.25">
      <c r="A337" s="142"/>
      <c r="B337" s="80" t="s">
        <v>106</v>
      </c>
      <c r="C337" s="15"/>
      <c r="D337" s="147"/>
      <c r="E337" s="39"/>
      <c r="F337" s="80"/>
      <c r="G337" s="20"/>
      <c r="H337" s="113" t="s">
        <v>9</v>
      </c>
      <c r="I337" s="114"/>
      <c r="J337" s="80">
        <f>10/100*E337</f>
        <v>0</v>
      </c>
      <c r="K337" s="147"/>
      <c r="L337" s="73"/>
    </row>
    <row r="338" spans="1:13" ht="15" customHeight="1" x14ac:dyDescent="0.25">
      <c r="A338" s="215" t="s">
        <v>45</v>
      </c>
      <c r="B338" s="216"/>
      <c r="C338" s="216"/>
      <c r="D338" s="216"/>
      <c r="E338" s="217"/>
      <c r="F338" s="80"/>
      <c r="G338" s="20"/>
      <c r="H338" s="218"/>
      <c r="I338" s="219"/>
      <c r="J338" s="80">
        <f>SUM(J334:K337)</f>
        <v>180681.60000000001</v>
      </c>
      <c r="K338" s="147"/>
      <c r="L338" s="73"/>
    </row>
    <row r="339" spans="1:13" ht="15" customHeight="1" x14ac:dyDescent="0.25">
      <c r="A339" s="174"/>
      <c r="B339" s="18"/>
      <c r="C339" s="15"/>
      <c r="D339" s="15"/>
      <c r="E339" s="165"/>
      <c r="F339" s="80"/>
      <c r="G339" s="20"/>
      <c r="H339" s="218"/>
      <c r="I339" s="219"/>
      <c r="J339" s="64"/>
      <c r="K339" s="15"/>
      <c r="L339" s="220"/>
    </row>
    <row r="340" spans="1:13" ht="15" customHeight="1" x14ac:dyDescent="0.25">
      <c r="A340" s="198" t="s">
        <v>24</v>
      </c>
      <c r="B340" s="136" t="s">
        <v>107</v>
      </c>
      <c r="C340" s="15"/>
      <c r="D340" s="20"/>
      <c r="E340" s="175"/>
      <c r="F340" s="80"/>
      <c r="G340" s="15"/>
      <c r="H340" s="214"/>
      <c r="I340" s="114"/>
      <c r="J340" s="80"/>
      <c r="K340" s="147"/>
      <c r="L340" s="73"/>
    </row>
    <row r="341" spans="1:13" ht="15" customHeight="1" x14ac:dyDescent="0.25">
      <c r="A341" s="142"/>
      <c r="B341" s="80" t="s">
        <v>108</v>
      </c>
      <c r="C341" s="15"/>
      <c r="D341" s="147"/>
      <c r="E341" s="39">
        <f>0.04*D14</f>
        <v>2360000</v>
      </c>
      <c r="F341" s="80"/>
      <c r="G341" s="20"/>
      <c r="H341" s="80" t="s">
        <v>7</v>
      </c>
      <c r="I341" s="20"/>
      <c r="J341" s="80"/>
      <c r="K341" s="147"/>
      <c r="L341" s="73"/>
    </row>
    <row r="342" spans="1:13" ht="15" customHeight="1" x14ac:dyDescent="0.25">
      <c r="A342" s="142"/>
      <c r="B342" s="80" t="s">
        <v>109</v>
      </c>
      <c r="C342" s="15"/>
      <c r="D342" s="147"/>
      <c r="E342" s="39"/>
      <c r="F342" s="80"/>
      <c r="G342" s="20"/>
      <c r="H342" s="80"/>
      <c r="I342" s="20"/>
      <c r="J342" s="80"/>
      <c r="K342" s="147"/>
      <c r="L342" s="73"/>
    </row>
    <row r="343" spans="1:13" ht="15" customHeight="1" x14ac:dyDescent="0.25">
      <c r="A343" s="142"/>
      <c r="B343" s="80" t="s">
        <v>117</v>
      </c>
      <c r="C343" s="15"/>
      <c r="D343" s="147"/>
      <c r="E343" s="39">
        <f>J341</f>
        <v>0</v>
      </c>
      <c r="F343" s="80"/>
      <c r="G343" s="20"/>
      <c r="H343" s="80" t="s">
        <v>4</v>
      </c>
      <c r="I343" s="20"/>
      <c r="J343" s="80">
        <f>0.35*E343</f>
        <v>0</v>
      </c>
      <c r="K343" s="147"/>
      <c r="L343" s="73"/>
    </row>
    <row r="344" spans="1:13" ht="15" customHeight="1" x14ac:dyDescent="0.25">
      <c r="A344" s="142"/>
      <c r="B344" s="80" t="s">
        <v>41</v>
      </c>
      <c r="C344" s="15"/>
      <c r="D344" s="147"/>
      <c r="E344" s="39"/>
      <c r="F344" s="80"/>
      <c r="G344" s="20"/>
      <c r="H344" s="80"/>
      <c r="I344" s="20"/>
      <c r="J344" s="80"/>
      <c r="K344" s="147"/>
      <c r="L344" s="73"/>
    </row>
    <row r="345" spans="1:13" ht="15" customHeight="1" x14ac:dyDescent="0.25">
      <c r="A345" s="215" t="s">
        <v>45</v>
      </c>
      <c r="B345" s="216"/>
      <c r="C345" s="216"/>
      <c r="D345" s="216"/>
      <c r="E345" s="217"/>
      <c r="F345" s="80"/>
      <c r="G345" s="20"/>
      <c r="H345" s="80"/>
      <c r="I345" s="20"/>
      <c r="J345" s="80">
        <f>SUM(J341:K344)</f>
        <v>0</v>
      </c>
      <c r="K345" s="20"/>
      <c r="L345" s="66"/>
    </row>
    <row r="346" spans="1:13" ht="15" customHeight="1" x14ac:dyDescent="0.25">
      <c r="A346" s="174"/>
      <c r="B346" s="18"/>
      <c r="C346" s="15"/>
      <c r="D346" s="15"/>
      <c r="E346" s="165"/>
      <c r="F346" s="80"/>
      <c r="G346" s="20"/>
      <c r="H346" s="80"/>
      <c r="I346" s="20"/>
      <c r="J346" s="64"/>
      <c r="K346" s="15"/>
      <c r="L346" s="220"/>
      <c r="M346" s="26"/>
    </row>
    <row r="347" spans="1:13" ht="15" customHeight="1" x14ac:dyDescent="0.25">
      <c r="A347" s="198" t="s">
        <v>25</v>
      </c>
      <c r="B347" s="80" t="s">
        <v>110</v>
      </c>
      <c r="C347" s="15"/>
      <c r="D347" s="147"/>
      <c r="E347" s="175">
        <f>0.1*E334</f>
        <v>9034080</v>
      </c>
      <c r="F347" s="80"/>
      <c r="G347" s="20"/>
      <c r="H347" s="80" t="s">
        <v>1</v>
      </c>
      <c r="I347" s="20"/>
      <c r="J347" s="80">
        <f>2/100*E347</f>
        <v>180681.60000000001</v>
      </c>
      <c r="K347" s="20"/>
      <c r="L347" s="73" t="s">
        <v>2</v>
      </c>
    </row>
    <row r="348" spans="1:13" ht="15" customHeight="1" x14ac:dyDescent="0.25">
      <c r="A348" s="174"/>
      <c r="B348" s="18"/>
      <c r="C348" s="15"/>
      <c r="D348" s="15"/>
      <c r="E348" s="165"/>
      <c r="F348" s="80"/>
      <c r="G348" s="20"/>
      <c r="H348" s="64"/>
      <c r="I348" s="15"/>
      <c r="J348" s="15"/>
      <c r="K348" s="15"/>
      <c r="L348" s="220"/>
    </row>
    <row r="349" spans="1:13" ht="15" customHeight="1" x14ac:dyDescent="0.25">
      <c r="A349" s="221" t="s">
        <v>26</v>
      </c>
      <c r="B349" s="80" t="s">
        <v>121</v>
      </c>
      <c r="C349" s="15"/>
      <c r="D349" s="147"/>
      <c r="E349" s="222"/>
      <c r="F349" s="80"/>
      <c r="G349" s="20"/>
      <c r="H349" s="80"/>
      <c r="I349" s="20"/>
      <c r="J349" s="80"/>
      <c r="K349" s="20"/>
      <c r="L349" s="73"/>
    </row>
    <row r="350" spans="1:13" ht="15" customHeight="1" x14ac:dyDescent="0.25">
      <c r="A350" s="174"/>
      <c r="B350" s="18"/>
      <c r="C350" s="15"/>
      <c r="D350" s="15"/>
      <c r="E350" s="165"/>
      <c r="F350" s="80"/>
      <c r="G350" s="20"/>
      <c r="H350" s="80"/>
      <c r="I350" s="20"/>
      <c r="J350" s="64"/>
      <c r="K350" s="15"/>
      <c r="L350" s="220"/>
    </row>
    <row r="351" spans="1:13" ht="15" customHeight="1" x14ac:dyDescent="0.25">
      <c r="A351" s="142" t="s">
        <v>27</v>
      </c>
      <c r="B351" s="80" t="s">
        <v>111</v>
      </c>
      <c r="C351" s="15"/>
      <c r="D351" s="147"/>
      <c r="E351" s="39"/>
      <c r="F351" s="80"/>
      <c r="G351" s="20"/>
      <c r="H351" s="80" t="s">
        <v>3</v>
      </c>
      <c r="I351" s="20"/>
      <c r="J351" s="80">
        <f>2.5/1000*E351</f>
        <v>0</v>
      </c>
      <c r="K351" s="20"/>
      <c r="L351" s="73"/>
    </row>
    <row r="352" spans="1:13" ht="15" customHeight="1" x14ac:dyDescent="0.25">
      <c r="A352" s="138"/>
      <c r="B352" s="18"/>
      <c r="C352" s="15"/>
      <c r="D352" s="15"/>
      <c r="F352" s="80"/>
      <c r="G352" s="20"/>
      <c r="H352" s="64"/>
      <c r="I352" s="15"/>
      <c r="J352" s="15"/>
      <c r="K352" s="15"/>
      <c r="L352" s="22"/>
    </row>
    <row r="353" spans="1:12" ht="15" customHeight="1" x14ac:dyDescent="0.25">
      <c r="A353" s="142" t="s">
        <v>29</v>
      </c>
      <c r="B353" s="80" t="s">
        <v>122</v>
      </c>
      <c r="C353" s="15"/>
      <c r="D353" s="20"/>
      <c r="E353" s="39"/>
      <c r="F353" s="80"/>
      <c r="G353" s="20"/>
      <c r="H353" s="80" t="s">
        <v>5</v>
      </c>
      <c r="I353" s="20"/>
      <c r="J353" s="80">
        <f>7/100*E353</f>
        <v>0</v>
      </c>
      <c r="K353" s="147"/>
      <c r="L353" s="73"/>
    </row>
    <row r="354" spans="1:12" ht="15" customHeight="1" x14ac:dyDescent="0.25">
      <c r="A354" s="138"/>
      <c r="B354" s="18"/>
      <c r="C354" s="15"/>
      <c r="D354" s="15"/>
      <c r="F354" s="80"/>
      <c r="G354" s="20"/>
      <c r="H354" s="64"/>
      <c r="I354" s="15"/>
      <c r="J354" s="15"/>
      <c r="K354" s="15"/>
      <c r="L354" s="22"/>
    </row>
    <row r="355" spans="1:12" ht="15" customHeight="1" x14ac:dyDescent="0.25">
      <c r="A355" s="142" t="s">
        <v>28</v>
      </c>
      <c r="B355" s="80" t="s">
        <v>50</v>
      </c>
      <c r="C355" s="15"/>
      <c r="D355" s="18"/>
      <c r="E355" s="152"/>
      <c r="F355" s="80"/>
      <c r="G355" s="20"/>
      <c r="H355" s="64"/>
      <c r="I355" s="15"/>
      <c r="J355" s="80"/>
      <c r="K355" s="147"/>
      <c r="L355" s="73"/>
    </row>
    <row r="356" spans="1:12" ht="15" customHeight="1" x14ac:dyDescent="0.25">
      <c r="A356" s="223"/>
      <c r="B356" s="224"/>
      <c r="C356" s="225"/>
      <c r="D356" s="225"/>
      <c r="E356" s="225"/>
      <c r="F356" s="225"/>
      <c r="G356" s="225"/>
      <c r="H356" s="225"/>
      <c r="I356" s="225"/>
      <c r="J356" s="225"/>
      <c r="K356" s="225"/>
      <c r="L356" s="226"/>
    </row>
    <row r="357" spans="1:12" ht="15" customHeight="1" x14ac:dyDescent="0.25">
      <c r="A357" s="85"/>
      <c r="C357" s="5" t="s">
        <v>136</v>
      </c>
      <c r="D357" s="157"/>
      <c r="E357" s="157"/>
      <c r="F357" s="157"/>
      <c r="G357" s="157"/>
      <c r="H357" s="157"/>
      <c r="I357" s="157"/>
      <c r="J357" s="157"/>
      <c r="K357" s="227"/>
      <c r="L357" s="228"/>
    </row>
    <row r="358" spans="1:12" ht="15" customHeight="1" x14ac:dyDescent="0.25">
      <c r="A358" s="138"/>
      <c r="B358" s="65"/>
      <c r="C358" s="127" t="s">
        <v>32</v>
      </c>
      <c r="D358" s="114"/>
      <c r="E358" s="127" t="s">
        <v>112</v>
      </c>
      <c r="F358" s="15"/>
      <c r="G358" s="15"/>
      <c r="H358" s="20"/>
      <c r="I358" s="127" t="s">
        <v>38</v>
      </c>
      <c r="J358" s="20"/>
      <c r="K358" s="65"/>
      <c r="L358" s="139"/>
    </row>
    <row r="359" spans="1:12" ht="15" customHeight="1" x14ac:dyDescent="0.25">
      <c r="A359" s="138"/>
      <c r="B359" s="65"/>
      <c r="C359" s="80" t="s">
        <v>113</v>
      </c>
      <c r="D359" s="20"/>
      <c r="E359" s="127"/>
      <c r="F359" s="15"/>
      <c r="G359" s="15"/>
      <c r="H359" s="20"/>
      <c r="I359" s="127">
        <f>J338</f>
        <v>180681.60000000001</v>
      </c>
      <c r="J359" s="20"/>
      <c r="K359" s="65"/>
      <c r="L359" s="139"/>
    </row>
    <row r="360" spans="1:12" ht="15" customHeight="1" x14ac:dyDescent="0.25">
      <c r="A360" s="138"/>
      <c r="B360" s="65"/>
      <c r="C360" s="80" t="s">
        <v>114</v>
      </c>
      <c r="D360" s="20"/>
      <c r="E360" s="127"/>
      <c r="F360" s="15"/>
      <c r="G360" s="15"/>
      <c r="H360" s="20"/>
      <c r="I360" s="127">
        <f>J345</f>
        <v>0</v>
      </c>
      <c r="J360" s="20"/>
      <c r="K360" s="65"/>
      <c r="L360" s="139"/>
    </row>
    <row r="361" spans="1:12" ht="15" customHeight="1" x14ac:dyDescent="0.25">
      <c r="A361" s="138"/>
      <c r="B361" s="65"/>
      <c r="C361" s="80" t="s">
        <v>115</v>
      </c>
      <c r="D361" s="20"/>
      <c r="E361" s="127"/>
      <c r="F361" s="15"/>
      <c r="G361" s="15"/>
      <c r="H361" s="20"/>
      <c r="I361" s="127">
        <f>J347</f>
        <v>180681.60000000001</v>
      </c>
      <c r="J361" s="20"/>
      <c r="K361" s="65"/>
      <c r="L361" s="139"/>
    </row>
    <row r="362" spans="1:12" ht="15" customHeight="1" x14ac:dyDescent="0.25">
      <c r="A362" s="138"/>
      <c r="B362" s="65"/>
      <c r="C362" s="80" t="s">
        <v>141</v>
      </c>
      <c r="D362" s="20"/>
      <c r="E362" s="127"/>
      <c r="F362" s="15"/>
      <c r="G362" s="15"/>
      <c r="H362" s="20"/>
      <c r="I362" s="127">
        <f>J349</f>
        <v>0</v>
      </c>
      <c r="J362" s="20"/>
      <c r="K362" s="65"/>
      <c r="L362" s="139"/>
    </row>
    <row r="363" spans="1:12" ht="15" customHeight="1" x14ac:dyDescent="0.25">
      <c r="A363" s="138"/>
      <c r="B363" s="65"/>
      <c r="C363" s="80" t="s">
        <v>116</v>
      </c>
      <c r="D363" s="20"/>
      <c r="E363" s="127"/>
      <c r="F363" s="15"/>
      <c r="G363" s="15"/>
      <c r="H363" s="20"/>
      <c r="I363" s="127">
        <f>J351</f>
        <v>0</v>
      </c>
      <c r="J363" s="20"/>
      <c r="K363" s="65"/>
      <c r="L363" s="139"/>
    </row>
    <row r="364" spans="1:12" ht="15" customHeight="1" x14ac:dyDescent="0.25">
      <c r="A364" s="138"/>
      <c r="B364" s="65"/>
      <c r="C364" s="80" t="s">
        <v>116</v>
      </c>
      <c r="D364" s="20"/>
      <c r="E364" s="127"/>
      <c r="F364" s="15"/>
      <c r="G364" s="15"/>
      <c r="H364" s="20"/>
      <c r="I364" s="127">
        <f>J353</f>
        <v>0</v>
      </c>
      <c r="J364" s="20"/>
      <c r="K364" s="65"/>
      <c r="L364" s="139"/>
    </row>
    <row r="365" spans="1:12" ht="15" customHeight="1" x14ac:dyDescent="0.25">
      <c r="A365" s="138"/>
      <c r="B365" s="65"/>
      <c r="C365" s="80" t="s">
        <v>41</v>
      </c>
      <c r="D365" s="20"/>
      <c r="E365" s="127"/>
      <c r="F365" s="15"/>
      <c r="G365" s="15"/>
      <c r="H365" s="20"/>
      <c r="I365" s="127">
        <f>J355</f>
        <v>0</v>
      </c>
      <c r="J365" s="20"/>
      <c r="K365" s="65"/>
      <c r="L365" s="139"/>
    </row>
    <row r="366" spans="1:12" ht="15" customHeight="1" x14ac:dyDescent="0.25">
      <c r="A366" s="138"/>
      <c r="B366" s="65"/>
      <c r="C366" s="229" t="s">
        <v>143</v>
      </c>
      <c r="D366" s="216"/>
      <c r="E366" s="127"/>
      <c r="F366" s="15"/>
      <c r="G366" s="15"/>
      <c r="H366" s="20"/>
      <c r="I366" s="127">
        <f>SUM(I359:J365)</f>
        <v>361363.20000000001</v>
      </c>
      <c r="J366" s="20"/>
      <c r="K366" s="65"/>
      <c r="L366" s="139"/>
    </row>
    <row r="367" spans="1:12" ht="15" customHeight="1" thickBot="1" x14ac:dyDescent="0.3">
      <c r="A367" s="140"/>
      <c r="B367" s="105"/>
      <c r="C367" s="104"/>
      <c r="D367" s="104"/>
      <c r="E367" s="104"/>
      <c r="F367" s="104"/>
      <c r="G367" s="104"/>
      <c r="H367" s="104"/>
      <c r="I367" s="104"/>
      <c r="J367" s="104"/>
      <c r="K367" s="104"/>
      <c r="L367" s="230"/>
    </row>
    <row r="368" spans="1:12" ht="15" customHeight="1" thickTop="1" x14ac:dyDescent="0.25">
      <c r="A368" s="109" t="s">
        <v>306</v>
      </c>
      <c r="B368" s="257" t="s">
        <v>226</v>
      </c>
      <c r="C368" s="258"/>
      <c r="D368" s="258"/>
      <c r="E368" s="258"/>
      <c r="F368" s="258"/>
      <c r="G368" s="258"/>
      <c r="H368" s="258"/>
      <c r="I368" s="258"/>
      <c r="J368" s="258"/>
      <c r="K368" s="258"/>
      <c r="L368" s="259"/>
    </row>
    <row r="369" spans="1:12" ht="15" customHeight="1" x14ac:dyDescent="0.25">
      <c r="A369" s="153" t="s">
        <v>75</v>
      </c>
      <c r="B369" s="127" t="s">
        <v>19</v>
      </c>
      <c r="C369" s="15"/>
      <c r="D369" s="15"/>
      <c r="E369" s="20"/>
      <c r="F369" s="96" t="s">
        <v>20</v>
      </c>
      <c r="G369" s="96" t="s">
        <v>21</v>
      </c>
      <c r="H369" s="127" t="s">
        <v>37</v>
      </c>
      <c r="I369" s="20"/>
      <c r="J369" s="127" t="s">
        <v>38</v>
      </c>
      <c r="K369" s="114"/>
      <c r="L369" s="98" t="s">
        <v>22</v>
      </c>
    </row>
    <row r="370" spans="1:12" ht="15" customHeight="1" x14ac:dyDescent="0.25">
      <c r="A370" s="142"/>
      <c r="B370" s="80"/>
      <c r="C370" s="15"/>
      <c r="D370" s="15"/>
      <c r="E370" s="20"/>
      <c r="F370" s="39"/>
      <c r="G370" s="39"/>
      <c r="H370" s="113"/>
      <c r="I370" s="20"/>
      <c r="J370" s="113">
        <f>H370*G370</f>
        <v>0</v>
      </c>
      <c r="K370" s="114"/>
      <c r="L370" s="73"/>
    </row>
    <row r="371" spans="1:12" ht="15" customHeight="1" x14ac:dyDescent="0.25">
      <c r="A371" s="142"/>
      <c r="B371" s="80"/>
      <c r="C371" s="15"/>
      <c r="D371" s="15"/>
      <c r="E371" s="20"/>
      <c r="F371" s="39"/>
      <c r="G371" s="39"/>
      <c r="H371" s="113"/>
      <c r="I371" s="20"/>
      <c r="J371" s="113">
        <f>H371*G371</f>
        <v>0</v>
      </c>
      <c r="K371" s="114"/>
      <c r="L371" s="73"/>
    </row>
    <row r="372" spans="1:12" ht="15" customHeight="1" x14ac:dyDescent="0.25">
      <c r="A372" s="142"/>
      <c r="B372" s="80"/>
      <c r="C372" s="15"/>
      <c r="D372" s="15"/>
      <c r="E372" s="20"/>
      <c r="F372" s="39"/>
      <c r="G372" s="39"/>
      <c r="H372" s="113"/>
      <c r="I372" s="20"/>
      <c r="J372" s="113">
        <f>H372*G372</f>
        <v>0</v>
      </c>
      <c r="K372" s="114"/>
      <c r="L372" s="73"/>
    </row>
    <row r="373" spans="1:12" ht="15" customHeight="1" x14ac:dyDescent="0.25">
      <c r="A373" s="142"/>
      <c r="B373" s="80"/>
      <c r="C373" s="15"/>
      <c r="D373" s="15"/>
      <c r="E373" s="20"/>
      <c r="F373" s="39"/>
      <c r="G373" s="39"/>
      <c r="H373" s="113"/>
      <c r="I373" s="20"/>
      <c r="J373" s="113">
        <f>H373*G373</f>
        <v>0</v>
      </c>
      <c r="K373" s="114"/>
      <c r="L373" s="73"/>
    </row>
    <row r="374" spans="1:12" ht="15" customHeight="1" x14ac:dyDescent="0.25">
      <c r="A374" s="142"/>
      <c r="B374" s="80"/>
      <c r="C374" s="15"/>
      <c r="D374" s="15"/>
      <c r="E374" s="20"/>
      <c r="F374" s="39"/>
      <c r="G374" s="39"/>
      <c r="H374" s="113"/>
      <c r="I374" s="20"/>
      <c r="J374" s="113">
        <f t="shared" ref="J374:J393" si="33">H374*G374</f>
        <v>0</v>
      </c>
      <c r="K374" s="114"/>
      <c r="L374" s="73"/>
    </row>
    <row r="375" spans="1:12" ht="15" customHeight="1" x14ac:dyDescent="0.25">
      <c r="A375" s="142"/>
      <c r="B375" s="80"/>
      <c r="C375" s="15"/>
      <c r="D375" s="15"/>
      <c r="E375" s="20"/>
      <c r="F375" s="39"/>
      <c r="G375" s="39"/>
      <c r="H375" s="113"/>
      <c r="I375" s="20"/>
      <c r="J375" s="113">
        <f t="shared" si="33"/>
        <v>0</v>
      </c>
      <c r="K375" s="114"/>
      <c r="L375" s="73"/>
    </row>
    <row r="376" spans="1:12" ht="15" customHeight="1" x14ac:dyDescent="0.25">
      <c r="A376" s="142"/>
      <c r="B376" s="80"/>
      <c r="C376" s="15"/>
      <c r="D376" s="15"/>
      <c r="E376" s="20"/>
      <c r="F376" s="39"/>
      <c r="G376" s="39"/>
      <c r="H376" s="113"/>
      <c r="I376" s="20"/>
      <c r="J376" s="113">
        <f t="shared" si="33"/>
        <v>0</v>
      </c>
      <c r="K376" s="114"/>
      <c r="L376" s="73"/>
    </row>
    <row r="377" spans="1:12" ht="15" customHeight="1" x14ac:dyDescent="0.25">
      <c r="A377" s="142"/>
      <c r="B377" s="80"/>
      <c r="C377" s="15"/>
      <c r="D377" s="15"/>
      <c r="E377" s="20"/>
      <c r="F377" s="39"/>
      <c r="G377" s="39"/>
      <c r="H377" s="113"/>
      <c r="I377" s="20"/>
      <c r="J377" s="113">
        <f t="shared" si="33"/>
        <v>0</v>
      </c>
      <c r="K377" s="114"/>
      <c r="L377" s="73"/>
    </row>
    <row r="378" spans="1:12" ht="15" customHeight="1" x14ac:dyDescent="0.25">
      <c r="A378" s="142"/>
      <c r="B378" s="80"/>
      <c r="C378" s="15"/>
      <c r="D378" s="15"/>
      <c r="E378" s="20"/>
      <c r="F378" s="39"/>
      <c r="G378" s="39"/>
      <c r="H378" s="113"/>
      <c r="I378" s="20"/>
      <c r="J378" s="113">
        <f t="shared" si="33"/>
        <v>0</v>
      </c>
      <c r="K378" s="114"/>
      <c r="L378" s="73"/>
    </row>
    <row r="379" spans="1:12" ht="15" customHeight="1" x14ac:dyDescent="0.25">
      <c r="A379" s="142"/>
      <c r="B379" s="80"/>
      <c r="C379" s="15"/>
      <c r="D379" s="15"/>
      <c r="E379" s="20"/>
      <c r="F379" s="39"/>
      <c r="G379" s="39"/>
      <c r="H379" s="113"/>
      <c r="I379" s="20"/>
      <c r="J379" s="113">
        <f t="shared" si="33"/>
        <v>0</v>
      </c>
      <c r="K379" s="114"/>
      <c r="L379" s="73"/>
    </row>
    <row r="380" spans="1:12" ht="15" customHeight="1" x14ac:dyDescent="0.25">
      <c r="A380" s="142"/>
      <c r="B380" s="80"/>
      <c r="C380" s="15"/>
      <c r="D380" s="15"/>
      <c r="E380" s="20"/>
      <c r="F380" s="39"/>
      <c r="G380" s="39"/>
      <c r="H380" s="113"/>
      <c r="I380" s="20"/>
      <c r="J380" s="113">
        <f t="shared" si="33"/>
        <v>0</v>
      </c>
      <c r="K380" s="114"/>
      <c r="L380" s="73"/>
    </row>
    <row r="381" spans="1:12" ht="15" customHeight="1" x14ac:dyDescent="0.25">
      <c r="A381" s="142"/>
      <c r="B381" s="80"/>
      <c r="C381" s="15"/>
      <c r="D381" s="15"/>
      <c r="E381" s="20"/>
      <c r="F381" s="39"/>
      <c r="G381" s="39"/>
      <c r="H381" s="113"/>
      <c r="I381" s="20"/>
      <c r="J381" s="113">
        <f t="shared" si="33"/>
        <v>0</v>
      </c>
      <c r="K381" s="114"/>
      <c r="L381" s="73"/>
    </row>
    <row r="382" spans="1:12" ht="15" customHeight="1" x14ac:dyDescent="0.25">
      <c r="A382" s="142"/>
      <c r="B382" s="80"/>
      <c r="C382" s="15"/>
      <c r="D382" s="15"/>
      <c r="E382" s="20"/>
      <c r="F382" s="39"/>
      <c r="G382" s="39"/>
      <c r="H382" s="113"/>
      <c r="I382" s="20"/>
      <c r="J382" s="113">
        <f t="shared" si="33"/>
        <v>0</v>
      </c>
      <c r="K382" s="114"/>
      <c r="L382" s="73"/>
    </row>
    <row r="383" spans="1:12" ht="15" customHeight="1" x14ac:dyDescent="0.25">
      <c r="A383" s="142"/>
      <c r="B383" s="80"/>
      <c r="C383" s="15"/>
      <c r="D383" s="15"/>
      <c r="E383" s="20"/>
      <c r="F383" s="39"/>
      <c r="G383" s="39"/>
      <c r="H383" s="113"/>
      <c r="I383" s="20"/>
      <c r="J383" s="113">
        <f t="shared" si="33"/>
        <v>0</v>
      </c>
      <c r="K383" s="114"/>
      <c r="L383" s="73"/>
    </row>
    <row r="384" spans="1:12" ht="15" customHeight="1" x14ac:dyDescent="0.25">
      <c r="A384" s="142"/>
      <c r="B384" s="80"/>
      <c r="C384" s="15"/>
      <c r="D384" s="15"/>
      <c r="E384" s="20"/>
      <c r="F384" s="39"/>
      <c r="G384" s="39"/>
      <c r="H384" s="113"/>
      <c r="I384" s="20"/>
      <c r="J384" s="113">
        <f t="shared" si="33"/>
        <v>0</v>
      </c>
      <c r="K384" s="114"/>
      <c r="L384" s="73"/>
    </row>
    <row r="385" spans="1:12" ht="15" customHeight="1" x14ac:dyDescent="0.25">
      <c r="A385" s="142"/>
      <c r="B385" s="80"/>
      <c r="C385" s="15"/>
      <c r="D385" s="15"/>
      <c r="E385" s="20"/>
      <c r="F385" s="39"/>
      <c r="G385" s="39"/>
      <c r="H385" s="113"/>
      <c r="I385" s="20"/>
      <c r="J385" s="113">
        <f t="shared" si="33"/>
        <v>0</v>
      </c>
      <c r="K385" s="114"/>
      <c r="L385" s="73"/>
    </row>
    <row r="386" spans="1:12" ht="15" customHeight="1" x14ac:dyDescent="0.25">
      <c r="A386" s="142"/>
      <c r="B386" s="80"/>
      <c r="C386" s="15"/>
      <c r="D386" s="15"/>
      <c r="E386" s="20"/>
      <c r="F386" s="39"/>
      <c r="G386" s="39"/>
      <c r="H386" s="113"/>
      <c r="I386" s="20"/>
      <c r="J386" s="113">
        <f t="shared" si="33"/>
        <v>0</v>
      </c>
      <c r="K386" s="114"/>
      <c r="L386" s="73"/>
    </row>
    <row r="387" spans="1:12" ht="15" customHeight="1" x14ac:dyDescent="0.25">
      <c r="A387" s="142"/>
      <c r="B387" s="80"/>
      <c r="C387" s="15"/>
      <c r="D387" s="15"/>
      <c r="E387" s="20"/>
      <c r="F387" s="39"/>
      <c r="G387" s="39"/>
      <c r="H387" s="113"/>
      <c r="I387" s="20"/>
      <c r="J387" s="113">
        <f t="shared" si="33"/>
        <v>0</v>
      </c>
      <c r="K387" s="114"/>
      <c r="L387" s="73"/>
    </row>
    <row r="388" spans="1:12" ht="15" customHeight="1" x14ac:dyDescent="0.25">
      <c r="A388" s="142"/>
      <c r="B388" s="80"/>
      <c r="C388" s="15"/>
      <c r="D388" s="15"/>
      <c r="E388" s="20"/>
      <c r="F388" s="39"/>
      <c r="G388" s="39"/>
      <c r="H388" s="113"/>
      <c r="I388" s="20"/>
      <c r="J388" s="113">
        <f t="shared" si="33"/>
        <v>0</v>
      </c>
      <c r="K388" s="114"/>
      <c r="L388" s="73"/>
    </row>
    <row r="389" spans="1:12" ht="15" customHeight="1" x14ac:dyDescent="0.25">
      <c r="A389" s="142"/>
      <c r="B389" s="80"/>
      <c r="C389" s="15"/>
      <c r="D389" s="15"/>
      <c r="E389" s="20"/>
      <c r="F389" s="39"/>
      <c r="G389" s="39"/>
      <c r="H389" s="113"/>
      <c r="I389" s="20"/>
      <c r="J389" s="113">
        <f t="shared" si="33"/>
        <v>0</v>
      </c>
      <c r="K389" s="114"/>
      <c r="L389" s="73"/>
    </row>
    <row r="390" spans="1:12" ht="15" customHeight="1" x14ac:dyDescent="0.25">
      <c r="A390" s="142"/>
      <c r="B390" s="80"/>
      <c r="C390" s="15"/>
      <c r="D390" s="15"/>
      <c r="E390" s="20"/>
      <c r="F390" s="39"/>
      <c r="G390" s="39"/>
      <c r="H390" s="113"/>
      <c r="I390" s="20"/>
      <c r="J390" s="113">
        <f t="shared" si="33"/>
        <v>0</v>
      </c>
      <c r="K390" s="114"/>
      <c r="L390" s="73"/>
    </row>
    <row r="391" spans="1:12" ht="15" customHeight="1" x14ac:dyDescent="0.25">
      <c r="A391" s="142"/>
      <c r="B391" s="80"/>
      <c r="C391" s="15"/>
      <c r="D391" s="15"/>
      <c r="E391" s="20"/>
      <c r="F391" s="39"/>
      <c r="G391" s="39"/>
      <c r="H391" s="113"/>
      <c r="I391" s="20"/>
      <c r="J391" s="113">
        <f t="shared" si="33"/>
        <v>0</v>
      </c>
      <c r="K391" s="114"/>
      <c r="L391" s="73"/>
    </row>
    <row r="392" spans="1:12" ht="15" customHeight="1" x14ac:dyDescent="0.25">
      <c r="A392" s="142"/>
      <c r="B392" s="80"/>
      <c r="C392" s="15"/>
      <c r="D392" s="15"/>
      <c r="E392" s="20"/>
      <c r="F392" s="39"/>
      <c r="G392" s="39"/>
      <c r="H392" s="113"/>
      <c r="I392" s="20"/>
      <c r="J392" s="113">
        <f t="shared" si="33"/>
        <v>0</v>
      </c>
      <c r="K392" s="114"/>
      <c r="L392" s="73"/>
    </row>
    <row r="393" spans="1:12" ht="15" customHeight="1" x14ac:dyDescent="0.25">
      <c r="A393" s="142"/>
      <c r="B393" s="80"/>
      <c r="C393" s="15"/>
      <c r="D393" s="15"/>
      <c r="E393" s="20"/>
      <c r="F393" s="39"/>
      <c r="G393" s="39"/>
      <c r="H393" s="113"/>
      <c r="I393" s="20"/>
      <c r="J393" s="113">
        <f t="shared" si="33"/>
        <v>0</v>
      </c>
      <c r="K393" s="114"/>
      <c r="L393" s="73"/>
    </row>
    <row r="394" spans="1:12" ht="15" customHeight="1" x14ac:dyDescent="0.25">
      <c r="A394" s="142"/>
      <c r="B394" s="80"/>
      <c r="C394" s="15"/>
      <c r="D394" s="15"/>
      <c r="E394" s="20"/>
      <c r="F394" s="39"/>
      <c r="G394" s="39"/>
      <c r="H394" s="113"/>
      <c r="I394" s="20"/>
      <c r="J394" s="113">
        <f>H394*G394</f>
        <v>0</v>
      </c>
      <c r="K394" s="114"/>
      <c r="L394" s="73"/>
    </row>
    <row r="395" spans="1:12" ht="15" customHeight="1" x14ac:dyDescent="0.25">
      <c r="A395" s="142"/>
      <c r="B395" s="80"/>
      <c r="C395" s="15"/>
      <c r="D395" s="15"/>
      <c r="E395" s="20"/>
      <c r="F395" s="39"/>
      <c r="G395" s="39"/>
      <c r="H395" s="113"/>
      <c r="I395" s="20"/>
      <c r="J395" s="113">
        <f>H395*G395</f>
        <v>0</v>
      </c>
      <c r="K395" s="114"/>
      <c r="L395" s="73"/>
    </row>
    <row r="396" spans="1:12" ht="15" customHeight="1" x14ac:dyDescent="0.25">
      <c r="A396" s="142"/>
      <c r="B396" s="80"/>
      <c r="C396" s="15"/>
      <c r="D396" s="15"/>
      <c r="E396" s="20"/>
      <c r="F396" s="39"/>
      <c r="G396" s="39"/>
      <c r="H396" s="113"/>
      <c r="I396" s="20"/>
      <c r="J396" s="113">
        <f>H396*G396</f>
        <v>0</v>
      </c>
      <c r="K396" s="114"/>
      <c r="L396" s="73"/>
    </row>
    <row r="397" spans="1:12" ht="15" customHeight="1" thickBot="1" x14ac:dyDescent="0.3">
      <c r="A397" s="231" t="s">
        <v>171</v>
      </c>
      <c r="B397" s="203"/>
      <c r="C397" s="203"/>
      <c r="D397" s="203"/>
      <c r="E397" s="203"/>
      <c r="F397" s="232"/>
      <c r="G397" s="232"/>
      <c r="H397" s="233"/>
      <c r="I397" s="204"/>
      <c r="J397" s="234">
        <f>SUM(J370:K396)</f>
        <v>0</v>
      </c>
      <c r="K397" s="235"/>
      <c r="L397" s="236"/>
    </row>
    <row r="398" spans="1:12" ht="15" customHeight="1" thickTop="1" x14ac:dyDescent="0.25">
      <c r="A398" s="109" t="s">
        <v>307</v>
      </c>
      <c r="B398" s="257" t="s">
        <v>202</v>
      </c>
      <c r="C398" s="258"/>
      <c r="D398" s="258"/>
      <c r="E398" s="258"/>
      <c r="F398" s="258"/>
      <c r="G398" s="258"/>
      <c r="H398" s="258"/>
      <c r="I398" s="258"/>
      <c r="J398" s="258"/>
      <c r="K398" s="258"/>
      <c r="L398" s="259"/>
    </row>
    <row r="399" spans="1:12" ht="15" customHeight="1" x14ac:dyDescent="0.25">
      <c r="A399" s="153" t="s">
        <v>75</v>
      </c>
      <c r="B399" s="127" t="s">
        <v>19</v>
      </c>
      <c r="C399" s="15"/>
      <c r="D399" s="15"/>
      <c r="E399" s="20"/>
      <c r="F399" s="96" t="s">
        <v>20</v>
      </c>
      <c r="G399" s="96" t="s">
        <v>21</v>
      </c>
      <c r="H399" s="127" t="s">
        <v>37</v>
      </c>
      <c r="I399" s="20"/>
      <c r="J399" s="127" t="s">
        <v>38</v>
      </c>
      <c r="K399" s="114"/>
      <c r="L399" s="98" t="s">
        <v>22</v>
      </c>
    </row>
    <row r="400" spans="1:12" ht="15" customHeight="1" x14ac:dyDescent="0.25">
      <c r="A400" s="237"/>
      <c r="B400" s="14"/>
      <c r="C400" s="238"/>
      <c r="D400" s="238"/>
      <c r="E400" s="51"/>
      <c r="F400" s="38"/>
      <c r="G400" s="38"/>
      <c r="H400" s="14"/>
      <c r="I400" s="51"/>
      <c r="J400" s="14">
        <f>H400*G400</f>
        <v>0</v>
      </c>
      <c r="K400" s="51"/>
      <c r="L400" s="239"/>
    </row>
    <row r="401" spans="1:12" ht="15" customHeight="1" x14ac:dyDescent="0.25">
      <c r="A401" s="237"/>
      <c r="B401" s="14"/>
      <c r="C401" s="238"/>
      <c r="D401" s="238"/>
      <c r="E401" s="51"/>
      <c r="F401" s="38"/>
      <c r="G401" s="38"/>
      <c r="H401" s="14"/>
      <c r="I401" s="51"/>
      <c r="J401" s="14">
        <f>H401*G401</f>
        <v>0</v>
      </c>
      <c r="K401" s="51"/>
      <c r="L401" s="239"/>
    </row>
    <row r="402" spans="1:12" ht="15" customHeight="1" x14ac:dyDescent="0.25">
      <c r="A402" s="237"/>
      <c r="B402" s="14"/>
      <c r="C402" s="238"/>
      <c r="D402" s="238"/>
      <c r="E402" s="51"/>
      <c r="F402" s="38"/>
      <c r="G402" s="38"/>
      <c r="H402" s="14"/>
      <c r="I402" s="51"/>
      <c r="J402" s="14">
        <f>H402*G402</f>
        <v>0</v>
      </c>
      <c r="K402" s="51"/>
      <c r="L402" s="239"/>
    </row>
    <row r="403" spans="1:12" ht="15" customHeight="1" x14ac:dyDescent="0.25">
      <c r="A403" s="237"/>
      <c r="B403" s="14"/>
      <c r="C403" s="238"/>
      <c r="D403" s="238"/>
      <c r="E403" s="51"/>
      <c r="F403" s="38"/>
      <c r="G403" s="38"/>
      <c r="H403" s="14"/>
      <c r="I403" s="51"/>
      <c r="J403" s="14">
        <f>H403*G403</f>
        <v>0</v>
      </c>
      <c r="K403" s="51"/>
      <c r="L403" s="239"/>
    </row>
    <row r="404" spans="1:12" ht="15" customHeight="1" x14ac:dyDescent="0.25">
      <c r="A404" s="237"/>
      <c r="B404" s="14"/>
      <c r="C404" s="238"/>
      <c r="D404" s="238"/>
      <c r="E404" s="51"/>
      <c r="F404" s="38"/>
      <c r="G404" s="38"/>
      <c r="H404" s="14"/>
      <c r="I404" s="51"/>
      <c r="J404" s="14">
        <f t="shared" ref="J404:J425" si="34">H404*G404</f>
        <v>0</v>
      </c>
      <c r="K404" s="51"/>
      <c r="L404" s="239"/>
    </row>
    <row r="405" spans="1:12" ht="15" customHeight="1" x14ac:dyDescent="0.25">
      <c r="A405" s="237"/>
      <c r="B405" s="14"/>
      <c r="C405" s="238"/>
      <c r="D405" s="238"/>
      <c r="E405" s="51"/>
      <c r="F405" s="38"/>
      <c r="G405" s="38"/>
      <c r="H405" s="14"/>
      <c r="I405" s="51"/>
      <c r="J405" s="14">
        <f t="shared" si="34"/>
        <v>0</v>
      </c>
      <c r="K405" s="51"/>
      <c r="L405" s="239"/>
    </row>
    <row r="406" spans="1:12" ht="15" customHeight="1" x14ac:dyDescent="0.25">
      <c r="A406" s="237"/>
      <c r="B406" s="14"/>
      <c r="C406" s="238"/>
      <c r="D406" s="238"/>
      <c r="E406" s="51"/>
      <c r="F406" s="38"/>
      <c r="G406" s="38"/>
      <c r="H406" s="14"/>
      <c r="I406" s="51"/>
      <c r="J406" s="14">
        <f t="shared" si="34"/>
        <v>0</v>
      </c>
      <c r="K406" s="51"/>
      <c r="L406" s="239"/>
    </row>
    <row r="407" spans="1:12" ht="15" customHeight="1" x14ac:dyDescent="0.25">
      <c r="A407" s="237"/>
      <c r="B407" s="14"/>
      <c r="C407" s="238"/>
      <c r="D407" s="238"/>
      <c r="E407" s="51"/>
      <c r="F407" s="38"/>
      <c r="G407" s="38"/>
      <c r="H407" s="14"/>
      <c r="I407" s="51"/>
      <c r="J407" s="14">
        <f t="shared" si="34"/>
        <v>0</v>
      </c>
      <c r="K407" s="51"/>
      <c r="L407" s="239"/>
    </row>
    <row r="408" spans="1:12" ht="15" customHeight="1" x14ac:dyDescent="0.25">
      <c r="A408" s="237"/>
      <c r="B408" s="14"/>
      <c r="C408" s="238"/>
      <c r="D408" s="238"/>
      <c r="E408" s="51"/>
      <c r="F408" s="38"/>
      <c r="G408" s="38"/>
      <c r="H408" s="14"/>
      <c r="I408" s="51"/>
      <c r="J408" s="14">
        <f t="shared" si="34"/>
        <v>0</v>
      </c>
      <c r="K408" s="51"/>
      <c r="L408" s="239"/>
    </row>
    <row r="409" spans="1:12" ht="15" customHeight="1" x14ac:dyDescent="0.25">
      <c r="A409" s="237"/>
      <c r="B409" s="14"/>
      <c r="C409" s="238"/>
      <c r="D409" s="238"/>
      <c r="E409" s="51"/>
      <c r="F409" s="38"/>
      <c r="G409" s="38"/>
      <c r="H409" s="14"/>
      <c r="I409" s="51"/>
      <c r="J409" s="14">
        <f t="shared" si="34"/>
        <v>0</v>
      </c>
      <c r="K409" s="51"/>
      <c r="L409" s="239"/>
    </row>
    <row r="410" spans="1:12" ht="15" customHeight="1" x14ac:dyDescent="0.25">
      <c r="A410" s="237"/>
      <c r="B410" s="14"/>
      <c r="C410" s="238"/>
      <c r="D410" s="238"/>
      <c r="E410" s="51"/>
      <c r="F410" s="38"/>
      <c r="G410" s="38"/>
      <c r="H410" s="14"/>
      <c r="I410" s="51"/>
      <c r="J410" s="14">
        <f t="shared" si="34"/>
        <v>0</v>
      </c>
      <c r="K410" s="51"/>
      <c r="L410" s="239"/>
    </row>
    <row r="411" spans="1:12" ht="15" customHeight="1" x14ac:dyDescent="0.25">
      <c r="A411" s="237"/>
      <c r="B411" s="14"/>
      <c r="C411" s="238"/>
      <c r="D411" s="238"/>
      <c r="E411" s="51"/>
      <c r="F411" s="38"/>
      <c r="G411" s="38"/>
      <c r="H411" s="14"/>
      <c r="I411" s="51"/>
      <c r="J411" s="14">
        <f t="shared" si="34"/>
        <v>0</v>
      </c>
      <c r="K411" s="51"/>
      <c r="L411" s="239"/>
    </row>
    <row r="412" spans="1:12" ht="15" customHeight="1" x14ac:dyDescent="0.25">
      <c r="A412" s="237"/>
      <c r="B412" s="14"/>
      <c r="C412" s="238"/>
      <c r="D412" s="238"/>
      <c r="E412" s="51"/>
      <c r="F412" s="38"/>
      <c r="G412" s="38"/>
      <c r="H412" s="14"/>
      <c r="I412" s="51"/>
      <c r="J412" s="14">
        <f t="shared" si="34"/>
        <v>0</v>
      </c>
      <c r="K412" s="51"/>
      <c r="L412" s="239"/>
    </row>
    <row r="413" spans="1:12" ht="15" customHeight="1" x14ac:dyDescent="0.25">
      <c r="A413" s="237"/>
      <c r="B413" s="14"/>
      <c r="C413" s="238"/>
      <c r="D413" s="238"/>
      <c r="E413" s="51"/>
      <c r="F413" s="38"/>
      <c r="G413" s="38"/>
      <c r="H413" s="14"/>
      <c r="I413" s="51"/>
      <c r="J413" s="14">
        <f t="shared" si="34"/>
        <v>0</v>
      </c>
      <c r="K413" s="51"/>
      <c r="L413" s="239"/>
    </row>
    <row r="414" spans="1:12" ht="15" customHeight="1" x14ac:dyDescent="0.25">
      <c r="A414" s="237"/>
      <c r="B414" s="14"/>
      <c r="C414" s="238"/>
      <c r="D414" s="238"/>
      <c r="E414" s="51"/>
      <c r="F414" s="38"/>
      <c r="G414" s="38"/>
      <c r="H414" s="14"/>
      <c r="I414" s="51"/>
      <c r="J414" s="14">
        <f t="shared" si="34"/>
        <v>0</v>
      </c>
      <c r="K414" s="51"/>
      <c r="L414" s="239"/>
    </row>
    <row r="415" spans="1:12" ht="15" customHeight="1" x14ac:dyDescent="0.25">
      <c r="A415" s="237"/>
      <c r="B415" s="14"/>
      <c r="C415" s="238"/>
      <c r="D415" s="238"/>
      <c r="E415" s="51"/>
      <c r="F415" s="38"/>
      <c r="G415" s="38"/>
      <c r="H415" s="14"/>
      <c r="I415" s="51"/>
      <c r="J415" s="14">
        <f t="shared" si="34"/>
        <v>0</v>
      </c>
      <c r="K415" s="51"/>
      <c r="L415" s="239"/>
    </row>
    <row r="416" spans="1:12" ht="15" customHeight="1" x14ac:dyDescent="0.25">
      <c r="A416" s="237"/>
      <c r="B416" s="14"/>
      <c r="C416" s="238"/>
      <c r="D416" s="238"/>
      <c r="E416" s="51"/>
      <c r="F416" s="38"/>
      <c r="G416" s="38"/>
      <c r="H416" s="14"/>
      <c r="I416" s="51"/>
      <c r="J416" s="14">
        <f t="shared" si="34"/>
        <v>0</v>
      </c>
      <c r="K416" s="51"/>
      <c r="L416" s="239"/>
    </row>
    <row r="417" spans="1:12" ht="15" customHeight="1" x14ac:dyDescent="0.25">
      <c r="A417" s="237"/>
      <c r="B417" s="14"/>
      <c r="C417" s="238"/>
      <c r="D417" s="238"/>
      <c r="E417" s="51"/>
      <c r="F417" s="38"/>
      <c r="G417" s="38"/>
      <c r="H417" s="14"/>
      <c r="I417" s="51"/>
      <c r="J417" s="14">
        <f t="shared" si="34"/>
        <v>0</v>
      </c>
      <c r="K417" s="51"/>
      <c r="L417" s="239"/>
    </row>
    <row r="418" spans="1:12" ht="15" customHeight="1" x14ac:dyDescent="0.25">
      <c r="A418" s="237"/>
      <c r="B418" s="14"/>
      <c r="C418" s="238"/>
      <c r="D418" s="238"/>
      <c r="E418" s="51"/>
      <c r="F418" s="38"/>
      <c r="G418" s="38"/>
      <c r="H418" s="14"/>
      <c r="I418" s="51"/>
      <c r="J418" s="14">
        <f t="shared" si="34"/>
        <v>0</v>
      </c>
      <c r="K418" s="51"/>
      <c r="L418" s="239"/>
    </row>
    <row r="419" spans="1:12" ht="15" customHeight="1" x14ac:dyDescent="0.25">
      <c r="A419" s="237"/>
      <c r="B419" s="14"/>
      <c r="C419" s="238"/>
      <c r="D419" s="238"/>
      <c r="E419" s="51"/>
      <c r="F419" s="38"/>
      <c r="G419" s="38"/>
      <c r="H419" s="14"/>
      <c r="I419" s="51"/>
      <c r="J419" s="14">
        <f t="shared" si="34"/>
        <v>0</v>
      </c>
      <c r="K419" s="51"/>
      <c r="L419" s="239"/>
    </row>
    <row r="420" spans="1:12" ht="15" customHeight="1" x14ac:dyDescent="0.25">
      <c r="A420" s="237"/>
      <c r="B420" s="14"/>
      <c r="C420" s="238"/>
      <c r="D420" s="238"/>
      <c r="E420" s="51"/>
      <c r="F420" s="38"/>
      <c r="G420" s="38"/>
      <c r="H420" s="14"/>
      <c r="I420" s="51"/>
      <c r="J420" s="14">
        <f t="shared" si="34"/>
        <v>0</v>
      </c>
      <c r="K420" s="51"/>
      <c r="L420" s="239"/>
    </row>
    <row r="421" spans="1:12" ht="15" customHeight="1" x14ac:dyDescent="0.25">
      <c r="A421" s="237"/>
      <c r="B421" s="14"/>
      <c r="C421" s="238"/>
      <c r="D421" s="238"/>
      <c r="E421" s="51"/>
      <c r="F421" s="38"/>
      <c r="G421" s="38"/>
      <c r="H421" s="14"/>
      <c r="I421" s="51"/>
      <c r="J421" s="14">
        <f t="shared" si="34"/>
        <v>0</v>
      </c>
      <c r="K421" s="51"/>
      <c r="L421" s="239"/>
    </row>
    <row r="422" spans="1:12" ht="15" customHeight="1" x14ac:dyDescent="0.25">
      <c r="A422" s="237"/>
      <c r="B422" s="14"/>
      <c r="C422" s="238"/>
      <c r="D422" s="238"/>
      <c r="E422" s="51"/>
      <c r="F422" s="38"/>
      <c r="G422" s="38"/>
      <c r="H422" s="14"/>
      <c r="I422" s="51"/>
      <c r="J422" s="14">
        <f t="shared" si="34"/>
        <v>0</v>
      </c>
      <c r="K422" s="51"/>
      <c r="L422" s="239"/>
    </row>
    <row r="423" spans="1:12" ht="15" customHeight="1" x14ac:dyDescent="0.25">
      <c r="A423" s="237"/>
      <c r="B423" s="14"/>
      <c r="C423" s="238"/>
      <c r="D423" s="238"/>
      <c r="E423" s="51"/>
      <c r="F423" s="38"/>
      <c r="G423" s="38"/>
      <c r="H423" s="14"/>
      <c r="I423" s="51"/>
      <c r="J423" s="14">
        <f t="shared" si="34"/>
        <v>0</v>
      </c>
      <c r="K423" s="51"/>
      <c r="L423" s="239"/>
    </row>
    <row r="424" spans="1:12" ht="15" customHeight="1" x14ac:dyDescent="0.25">
      <c r="A424" s="237"/>
      <c r="B424" s="14"/>
      <c r="C424" s="238"/>
      <c r="D424" s="238"/>
      <c r="E424" s="51"/>
      <c r="F424" s="38"/>
      <c r="G424" s="38"/>
      <c r="H424" s="14"/>
      <c r="I424" s="51"/>
      <c r="J424" s="14">
        <f t="shared" si="34"/>
        <v>0</v>
      </c>
      <c r="K424" s="51"/>
      <c r="L424" s="239"/>
    </row>
    <row r="425" spans="1:12" ht="15" customHeight="1" x14ac:dyDescent="0.25">
      <c r="A425" s="237"/>
      <c r="B425" s="14"/>
      <c r="C425" s="238"/>
      <c r="D425" s="238"/>
      <c r="E425" s="51"/>
      <c r="F425" s="38"/>
      <c r="G425" s="38"/>
      <c r="H425" s="14"/>
      <c r="I425" s="51"/>
      <c r="J425" s="14">
        <f t="shared" si="34"/>
        <v>0</v>
      </c>
      <c r="K425" s="51"/>
      <c r="L425" s="239"/>
    </row>
    <row r="426" spans="1:12" ht="15" customHeight="1" x14ac:dyDescent="0.25">
      <c r="A426" s="237"/>
      <c r="B426" s="14"/>
      <c r="C426" s="238"/>
      <c r="D426" s="238"/>
      <c r="E426" s="51"/>
      <c r="F426" s="38"/>
      <c r="G426" s="38"/>
      <c r="H426" s="14"/>
      <c r="I426" s="51"/>
      <c r="J426" s="14">
        <f>H426*G426</f>
        <v>0</v>
      </c>
      <c r="K426" s="51"/>
      <c r="L426" s="239"/>
    </row>
    <row r="427" spans="1:12" ht="15" customHeight="1" x14ac:dyDescent="0.25">
      <c r="A427" s="237"/>
      <c r="B427" s="14"/>
      <c r="C427" s="238"/>
      <c r="D427" s="238"/>
      <c r="E427" s="51"/>
      <c r="F427" s="38"/>
      <c r="G427" s="38"/>
      <c r="H427" s="14"/>
      <c r="I427" s="51"/>
      <c r="J427" s="14">
        <f>H427*G427</f>
        <v>0</v>
      </c>
      <c r="K427" s="51"/>
      <c r="L427" s="239"/>
    </row>
    <row r="428" spans="1:12" ht="15" customHeight="1" thickBot="1" x14ac:dyDescent="0.3">
      <c r="A428" s="188"/>
      <c r="B428" s="240" t="s">
        <v>144</v>
      </c>
      <c r="C428" s="203"/>
      <c r="D428" s="203"/>
      <c r="E428" s="203"/>
      <c r="F428" s="241"/>
      <c r="G428" s="241"/>
      <c r="H428" s="241"/>
      <c r="I428" s="242"/>
      <c r="J428" s="234">
        <f>SUM(J400:K427)</f>
        <v>0</v>
      </c>
      <c r="K428" s="235"/>
      <c r="L428" s="236"/>
    </row>
    <row r="429" spans="1:12" ht="15" customHeight="1" thickTop="1" x14ac:dyDescent="0.25">
      <c r="A429" s="243"/>
      <c r="B429" s="244"/>
      <c r="C429" s="244"/>
      <c r="D429" s="244"/>
      <c r="E429" s="244"/>
      <c r="F429" s="244"/>
      <c r="G429" s="244"/>
      <c r="H429" s="244"/>
      <c r="I429" s="244"/>
      <c r="J429" s="244"/>
      <c r="K429" s="244"/>
      <c r="L429" s="245"/>
    </row>
    <row r="430" spans="1:12" ht="15" customHeight="1" x14ac:dyDescent="0.25">
      <c r="A430" s="153" t="s">
        <v>170</v>
      </c>
      <c r="B430" s="262" t="s">
        <v>227</v>
      </c>
      <c r="C430" s="263"/>
      <c r="D430" s="263"/>
      <c r="E430" s="263"/>
      <c r="F430" s="263"/>
      <c r="G430" s="263"/>
      <c r="H430" s="263"/>
      <c r="I430" s="263"/>
      <c r="J430" s="263"/>
      <c r="K430" s="263"/>
      <c r="L430" s="264"/>
    </row>
    <row r="431" spans="1:12" ht="15" customHeight="1" x14ac:dyDescent="0.25">
      <c r="A431" s="34" t="s">
        <v>44</v>
      </c>
      <c r="B431" s="127" t="s">
        <v>19</v>
      </c>
      <c r="C431" s="114"/>
      <c r="D431" s="35" t="s">
        <v>208</v>
      </c>
      <c r="E431" s="35" t="s">
        <v>309</v>
      </c>
      <c r="F431" s="35" t="s">
        <v>120</v>
      </c>
      <c r="G431" s="35" t="s">
        <v>155</v>
      </c>
      <c r="H431" s="127" t="s">
        <v>37</v>
      </c>
      <c r="I431" s="114"/>
      <c r="J431" s="127" t="s">
        <v>38</v>
      </c>
      <c r="K431" s="114"/>
      <c r="L431" s="129" t="s">
        <v>22</v>
      </c>
    </row>
    <row r="432" spans="1:12" ht="15" customHeight="1" x14ac:dyDescent="0.25">
      <c r="A432" s="153" t="s">
        <v>23</v>
      </c>
      <c r="B432" s="136" t="s">
        <v>336</v>
      </c>
      <c r="C432" s="20"/>
      <c r="D432" s="96"/>
      <c r="E432" s="96"/>
      <c r="F432" s="96"/>
      <c r="G432" s="96"/>
      <c r="H432" s="136"/>
      <c r="I432" s="20"/>
      <c r="J432" s="80"/>
      <c r="K432" s="20"/>
      <c r="L432" s="246"/>
    </row>
    <row r="433" spans="1:13" ht="15" customHeight="1" x14ac:dyDescent="0.25">
      <c r="A433" s="142"/>
      <c r="B433" s="80" t="s">
        <v>353</v>
      </c>
      <c r="C433" s="20"/>
      <c r="D433" s="39"/>
      <c r="E433" s="247">
        <f>1*$L$7</f>
        <v>1</v>
      </c>
      <c r="F433" s="39">
        <f t="shared" ref="F433:F451" si="35">$L$5</f>
        <v>13.331285196019252</v>
      </c>
      <c r="G433" s="39">
        <f>F433*E433</f>
        <v>13.331285196019252</v>
      </c>
      <c r="H433" s="80">
        <v>40000</v>
      </c>
      <c r="I433" s="20"/>
      <c r="J433" s="80">
        <f>H433*G433</f>
        <v>533251.40784077009</v>
      </c>
      <c r="K433" s="20"/>
      <c r="L433" s="145"/>
    </row>
    <row r="434" spans="1:13" ht="15" customHeight="1" x14ac:dyDescent="0.25">
      <c r="A434" s="142"/>
      <c r="B434" s="80" t="s">
        <v>13</v>
      </c>
      <c r="C434" s="20"/>
      <c r="D434" s="39"/>
      <c r="E434" s="247">
        <f>1*$L$7</f>
        <v>1</v>
      </c>
      <c r="F434" s="39">
        <f t="shared" si="35"/>
        <v>13.331285196019252</v>
      </c>
      <c r="G434" s="39">
        <f>F434*E434</f>
        <v>13.331285196019252</v>
      </c>
      <c r="H434" s="80">
        <f>12774*1.2</f>
        <v>15328.8</v>
      </c>
      <c r="I434" s="20"/>
      <c r="J434" s="80">
        <f>H434*G434</f>
        <v>204352.6045127399</v>
      </c>
      <c r="K434" s="20"/>
      <c r="L434" s="145"/>
    </row>
    <row r="435" spans="1:13" ht="15" customHeight="1" x14ac:dyDescent="0.25">
      <c r="A435" s="142"/>
      <c r="B435" s="80" t="s">
        <v>14</v>
      </c>
      <c r="C435" s="20"/>
      <c r="D435" s="39"/>
      <c r="E435" s="247">
        <f>1*$L$7</f>
        <v>1</v>
      </c>
      <c r="F435" s="39">
        <f t="shared" si="35"/>
        <v>13.331285196019252</v>
      </c>
      <c r="G435" s="39">
        <f t="shared" ref="G435:G451" si="36">F435*E435</f>
        <v>13.331285196019252</v>
      </c>
      <c r="H435" s="80">
        <f>12025*1.2</f>
        <v>14430</v>
      </c>
      <c r="I435" s="20"/>
      <c r="J435" s="80">
        <f>H435*G435</f>
        <v>192370.44537855781</v>
      </c>
      <c r="K435" s="20"/>
      <c r="L435" s="145"/>
    </row>
    <row r="436" spans="1:13" ht="15" customHeight="1" x14ac:dyDescent="0.25">
      <c r="A436" s="142"/>
      <c r="B436" s="80" t="s">
        <v>0</v>
      </c>
      <c r="C436" s="20"/>
      <c r="D436" s="39"/>
      <c r="E436" s="247"/>
      <c r="F436" s="39">
        <f t="shared" si="35"/>
        <v>13.331285196019252</v>
      </c>
      <c r="G436" s="39">
        <f t="shared" si="36"/>
        <v>0</v>
      </c>
      <c r="H436" s="80"/>
      <c r="I436" s="20"/>
      <c r="J436" s="80">
        <f>H436*G436</f>
        <v>0</v>
      </c>
      <c r="K436" s="20"/>
      <c r="L436" s="145"/>
    </row>
    <row r="437" spans="1:13" ht="15" customHeight="1" x14ac:dyDescent="0.25">
      <c r="A437" s="142"/>
      <c r="B437" s="80" t="s">
        <v>354</v>
      </c>
      <c r="C437" s="20"/>
      <c r="D437" s="39"/>
      <c r="E437" s="247"/>
      <c r="F437" s="39">
        <f t="shared" si="35"/>
        <v>13.331285196019252</v>
      </c>
      <c r="G437" s="39">
        <f t="shared" si="36"/>
        <v>0</v>
      </c>
      <c r="H437" s="80"/>
      <c r="I437" s="20"/>
      <c r="J437" s="80">
        <f>H437*G437</f>
        <v>0</v>
      </c>
      <c r="K437" s="20"/>
      <c r="L437" s="145"/>
      <c r="M437" s="65"/>
    </row>
    <row r="438" spans="1:13" ht="15" customHeight="1" x14ac:dyDescent="0.25">
      <c r="A438" s="142"/>
      <c r="B438" s="80" t="s">
        <v>209</v>
      </c>
      <c r="C438" s="20"/>
      <c r="D438" s="39"/>
      <c r="E438" s="247"/>
      <c r="F438" s="39">
        <f t="shared" si="35"/>
        <v>13.331285196019252</v>
      </c>
      <c r="G438" s="39">
        <f t="shared" si="36"/>
        <v>0</v>
      </c>
      <c r="H438" s="80"/>
      <c r="I438" s="20"/>
      <c r="J438" s="80">
        <f t="shared" ref="J438:J451" si="37">H438*G438</f>
        <v>0</v>
      </c>
      <c r="K438" s="20"/>
      <c r="L438" s="145"/>
    </row>
    <row r="439" spans="1:13" ht="15" customHeight="1" x14ac:dyDescent="0.25">
      <c r="A439" s="142"/>
      <c r="B439" s="80" t="s">
        <v>174</v>
      </c>
      <c r="C439" s="20"/>
      <c r="D439" s="39"/>
      <c r="E439" s="247"/>
      <c r="F439" s="39">
        <f t="shared" si="35"/>
        <v>13.331285196019252</v>
      </c>
      <c r="G439" s="39">
        <f t="shared" si="36"/>
        <v>0</v>
      </c>
      <c r="H439" s="80"/>
      <c r="I439" s="20"/>
      <c r="J439" s="80">
        <f t="shared" si="37"/>
        <v>0</v>
      </c>
      <c r="K439" s="20"/>
      <c r="L439" s="145"/>
    </row>
    <row r="440" spans="1:13" ht="15" customHeight="1" x14ac:dyDescent="0.25">
      <c r="A440" s="142"/>
      <c r="B440" s="80" t="s">
        <v>204</v>
      </c>
      <c r="C440" s="20"/>
      <c r="D440" s="39"/>
      <c r="E440" s="247"/>
      <c r="F440" s="39">
        <f t="shared" si="35"/>
        <v>13.331285196019252</v>
      </c>
      <c r="G440" s="39">
        <f t="shared" si="36"/>
        <v>0</v>
      </c>
      <c r="H440" s="80"/>
      <c r="I440" s="20"/>
      <c r="J440" s="80">
        <f t="shared" si="37"/>
        <v>0</v>
      </c>
      <c r="K440" s="20"/>
      <c r="L440" s="145"/>
    </row>
    <row r="441" spans="1:13" ht="15" customHeight="1" x14ac:dyDescent="0.25">
      <c r="A441" s="142"/>
      <c r="B441" s="80" t="s">
        <v>203</v>
      </c>
      <c r="C441" s="20"/>
      <c r="D441" s="39"/>
      <c r="E441" s="247"/>
      <c r="F441" s="39">
        <f t="shared" si="35"/>
        <v>13.331285196019252</v>
      </c>
      <c r="G441" s="39">
        <f t="shared" si="36"/>
        <v>0</v>
      </c>
      <c r="H441" s="80"/>
      <c r="I441" s="20"/>
      <c r="J441" s="80">
        <f t="shared" si="37"/>
        <v>0</v>
      </c>
      <c r="K441" s="20"/>
      <c r="L441" s="145"/>
    </row>
    <row r="442" spans="1:13" ht="15" customHeight="1" x14ac:dyDescent="0.25">
      <c r="A442" s="142"/>
      <c r="B442" s="80" t="s">
        <v>205</v>
      </c>
      <c r="C442" s="20"/>
      <c r="D442" s="39"/>
      <c r="E442" s="247"/>
      <c r="F442" s="39">
        <f t="shared" si="35"/>
        <v>13.331285196019252</v>
      </c>
      <c r="G442" s="39">
        <f t="shared" si="36"/>
        <v>0</v>
      </c>
      <c r="H442" s="80"/>
      <c r="I442" s="20"/>
      <c r="J442" s="80">
        <f t="shared" si="37"/>
        <v>0</v>
      </c>
      <c r="K442" s="20"/>
      <c r="L442" s="145"/>
    </row>
    <row r="443" spans="1:13" ht="15" customHeight="1" x14ac:dyDescent="0.25">
      <c r="A443" s="142"/>
      <c r="B443" s="80" t="s">
        <v>206</v>
      </c>
      <c r="C443" s="20"/>
      <c r="D443" s="39"/>
      <c r="E443" s="247"/>
      <c r="F443" s="39">
        <f t="shared" si="35"/>
        <v>13.331285196019252</v>
      </c>
      <c r="G443" s="39">
        <f t="shared" si="36"/>
        <v>0</v>
      </c>
      <c r="H443" s="80"/>
      <c r="I443" s="20"/>
      <c r="J443" s="80">
        <f t="shared" si="37"/>
        <v>0</v>
      </c>
      <c r="K443" s="20"/>
      <c r="L443" s="145"/>
    </row>
    <row r="444" spans="1:13" ht="15" customHeight="1" x14ac:dyDescent="0.25">
      <c r="A444" s="142"/>
      <c r="B444" s="80" t="s">
        <v>185</v>
      </c>
      <c r="C444" s="20"/>
      <c r="D444" s="39"/>
      <c r="E444" s="247"/>
      <c r="F444" s="39">
        <f t="shared" si="35"/>
        <v>13.331285196019252</v>
      </c>
      <c r="G444" s="39">
        <f t="shared" si="36"/>
        <v>0</v>
      </c>
      <c r="H444" s="80"/>
      <c r="I444" s="20"/>
      <c r="J444" s="80">
        <f t="shared" si="37"/>
        <v>0</v>
      </c>
      <c r="K444" s="20"/>
      <c r="L444" s="145"/>
    </row>
    <row r="445" spans="1:13" ht="15" customHeight="1" x14ac:dyDescent="0.25">
      <c r="A445" s="142"/>
      <c r="B445" s="80" t="s">
        <v>187</v>
      </c>
      <c r="C445" s="20"/>
      <c r="D445" s="39"/>
      <c r="E445" s="247"/>
      <c r="F445" s="39">
        <f t="shared" si="35"/>
        <v>13.331285196019252</v>
      </c>
      <c r="G445" s="39">
        <f t="shared" si="36"/>
        <v>0</v>
      </c>
      <c r="H445" s="80"/>
      <c r="I445" s="20"/>
      <c r="J445" s="80">
        <f t="shared" si="37"/>
        <v>0</v>
      </c>
      <c r="K445" s="20"/>
      <c r="L445" s="145"/>
    </row>
    <row r="446" spans="1:13" ht="15" customHeight="1" x14ac:dyDescent="0.25">
      <c r="A446" s="142"/>
      <c r="B446" s="80" t="s">
        <v>186</v>
      </c>
      <c r="C446" s="20"/>
      <c r="D446" s="39"/>
      <c r="E446" s="247"/>
      <c r="F446" s="39">
        <f t="shared" si="35"/>
        <v>13.331285196019252</v>
      </c>
      <c r="G446" s="39">
        <f t="shared" si="36"/>
        <v>0</v>
      </c>
      <c r="H446" s="80"/>
      <c r="I446" s="20"/>
      <c r="J446" s="80">
        <f t="shared" si="37"/>
        <v>0</v>
      </c>
      <c r="K446" s="20"/>
      <c r="L446" s="145"/>
    </row>
    <row r="447" spans="1:13" ht="15" customHeight="1" x14ac:dyDescent="0.25">
      <c r="A447" s="142"/>
      <c r="B447" s="152"/>
      <c r="C447" s="152"/>
      <c r="D447" s="39"/>
      <c r="E447" s="247"/>
      <c r="F447" s="39">
        <f t="shared" si="35"/>
        <v>13.331285196019252</v>
      </c>
      <c r="G447" s="39">
        <f t="shared" si="36"/>
        <v>0</v>
      </c>
      <c r="H447" s="80"/>
      <c r="I447" s="20"/>
      <c r="J447" s="80">
        <f t="shared" si="37"/>
        <v>0</v>
      </c>
      <c r="K447" s="20"/>
      <c r="L447" s="145"/>
    </row>
    <row r="448" spans="1:13" ht="15" customHeight="1" x14ac:dyDescent="0.25">
      <c r="A448" s="142" t="s">
        <v>24</v>
      </c>
      <c r="B448" s="136" t="s">
        <v>335</v>
      </c>
      <c r="C448" s="20"/>
      <c r="D448" s="39"/>
      <c r="E448" s="247"/>
      <c r="F448" s="39">
        <f t="shared" si="35"/>
        <v>13.331285196019252</v>
      </c>
      <c r="G448" s="39">
        <f t="shared" si="36"/>
        <v>0</v>
      </c>
      <c r="H448" s="80"/>
      <c r="I448" s="20"/>
      <c r="J448" s="80">
        <f t="shared" si="37"/>
        <v>0</v>
      </c>
      <c r="K448" s="20"/>
      <c r="L448" s="73"/>
    </row>
    <row r="449" spans="1:12" ht="15" customHeight="1" x14ac:dyDescent="0.25">
      <c r="A449" s="142"/>
      <c r="B449" s="80" t="s">
        <v>229</v>
      </c>
      <c r="C449" s="20"/>
      <c r="D449" s="39"/>
      <c r="E449" s="247">
        <f>1*$L$7</f>
        <v>1</v>
      </c>
      <c r="F449" s="39">
        <f t="shared" si="35"/>
        <v>13.331285196019252</v>
      </c>
      <c r="G449" s="39">
        <f>F449*E449</f>
        <v>13.331285196019252</v>
      </c>
      <c r="H449" s="80">
        <v>17880</v>
      </c>
      <c r="I449" s="20"/>
      <c r="J449" s="80">
        <f t="shared" si="37"/>
        <v>238363.37930482422</v>
      </c>
      <c r="K449" s="20"/>
      <c r="L449" s="145" t="s">
        <v>210</v>
      </c>
    </row>
    <row r="450" spans="1:12" ht="15" customHeight="1" x14ac:dyDescent="0.25">
      <c r="A450" s="142"/>
      <c r="B450" s="80" t="s">
        <v>230</v>
      </c>
      <c r="C450" s="179"/>
      <c r="D450" s="39"/>
      <c r="E450" s="247">
        <f>1*$L$7</f>
        <v>1</v>
      </c>
      <c r="F450" s="39">
        <f t="shared" si="35"/>
        <v>13.331285196019252</v>
      </c>
      <c r="G450" s="39">
        <f t="shared" si="36"/>
        <v>13.331285196019252</v>
      </c>
      <c r="H450" s="80">
        <v>1252.8599999999999</v>
      </c>
      <c r="I450" s="20"/>
      <c r="J450" s="80">
        <f t="shared" si="37"/>
        <v>16702.23397068468</v>
      </c>
      <c r="K450" s="20"/>
      <c r="L450" s="73"/>
    </row>
    <row r="451" spans="1:12" ht="15" customHeight="1" x14ac:dyDescent="0.25">
      <c r="A451" s="142"/>
      <c r="B451" s="80" t="s">
        <v>71</v>
      </c>
      <c r="C451" s="20"/>
      <c r="D451" s="39"/>
      <c r="E451" s="247">
        <f>1*$L$7</f>
        <v>1</v>
      </c>
      <c r="F451" s="39">
        <f t="shared" si="35"/>
        <v>13.331285196019252</v>
      </c>
      <c r="G451" s="39">
        <f t="shared" si="36"/>
        <v>13.331285196019252</v>
      </c>
      <c r="H451" s="80">
        <f>H450</f>
        <v>1252.8599999999999</v>
      </c>
      <c r="I451" s="20"/>
      <c r="J451" s="80">
        <f t="shared" si="37"/>
        <v>16702.23397068468</v>
      </c>
      <c r="K451" s="20"/>
      <c r="L451" s="73"/>
    </row>
    <row r="452" spans="1:12" ht="15" customHeight="1" x14ac:dyDescent="0.25">
      <c r="A452" s="142"/>
      <c r="B452" s="80"/>
      <c r="C452" s="20"/>
      <c r="D452" s="39"/>
      <c r="E452" s="247"/>
      <c r="F452" s="39"/>
      <c r="G452" s="39"/>
      <c r="H452" s="248"/>
      <c r="I452" s="249"/>
      <c r="J452" s="80"/>
      <c r="K452" s="20"/>
      <c r="L452" s="73"/>
    </row>
    <row r="453" spans="1:12" ht="15" customHeight="1" thickBot="1" x14ac:dyDescent="0.3">
      <c r="A453" s="250"/>
      <c r="B453" s="234" t="s">
        <v>175</v>
      </c>
      <c r="C453" s="203"/>
      <c r="D453" s="241"/>
      <c r="E453" s="241"/>
      <c r="F453" s="241"/>
      <c r="G453" s="241"/>
      <c r="H453" s="251">
        <f>SUM(H433:I451)</f>
        <v>90144.52</v>
      </c>
      <c r="I453" s="251"/>
      <c r="J453" s="252">
        <f>SUM(J433:J452)</f>
        <v>1201742.3049782615</v>
      </c>
      <c r="K453" s="252"/>
      <c r="L453" s="236"/>
    </row>
    <row r="454" spans="1:12" ht="15.6" thickTop="1" x14ac:dyDescent="0.25"/>
  </sheetData>
  <mergeCells count="840">
    <mergeCell ref="A10:G10"/>
    <mergeCell ref="J453:K453"/>
    <mergeCell ref="J449:K449"/>
    <mergeCell ref="J450:K450"/>
    <mergeCell ref="J451:K451"/>
    <mergeCell ref="J452:K452"/>
    <mergeCell ref="J448:K448"/>
    <mergeCell ref="J441:K441"/>
    <mergeCell ref="J432:K432"/>
    <mergeCell ref="J433:K433"/>
    <mergeCell ref="J446:K446"/>
    <mergeCell ref="J447:K447"/>
    <mergeCell ref="J436:K436"/>
    <mergeCell ref="J437:K437"/>
    <mergeCell ref="J442:K442"/>
    <mergeCell ref="J443:K443"/>
    <mergeCell ref="J444:K444"/>
    <mergeCell ref="J445:K445"/>
    <mergeCell ref="J438:K438"/>
    <mergeCell ref="J439:K439"/>
    <mergeCell ref="J440:K440"/>
    <mergeCell ref="I18:J18"/>
    <mergeCell ref="I19:J19"/>
    <mergeCell ref="F18:H18"/>
    <mergeCell ref="A2:L2"/>
    <mergeCell ref="A3:L3"/>
    <mergeCell ref="A5:G5"/>
    <mergeCell ref="H5:K5"/>
    <mergeCell ref="H4:J4"/>
    <mergeCell ref="H10:I10"/>
    <mergeCell ref="K10:L10"/>
    <mergeCell ref="J434:K434"/>
    <mergeCell ref="A4:G4"/>
    <mergeCell ref="H7:K7"/>
    <mergeCell ref="A7:G7"/>
    <mergeCell ref="A11:L11"/>
    <mergeCell ref="F12:L12"/>
    <mergeCell ref="F13:L13"/>
    <mergeCell ref="F15:L15"/>
    <mergeCell ref="I17:L17"/>
    <mergeCell ref="F14:L14"/>
    <mergeCell ref="F16:L16"/>
    <mergeCell ref="F17:H17"/>
    <mergeCell ref="K9:L9"/>
    <mergeCell ref="A8:G8"/>
    <mergeCell ref="A9:G9"/>
    <mergeCell ref="H8:I8"/>
    <mergeCell ref="H9:J9"/>
    <mergeCell ref="F19:H19"/>
    <mergeCell ref="I20:J20"/>
    <mergeCell ref="I21:J21"/>
    <mergeCell ref="F20:H20"/>
    <mergeCell ref="F21:H21"/>
    <mergeCell ref="H438:I438"/>
    <mergeCell ref="I25:J25"/>
    <mergeCell ref="I26:J26"/>
    <mergeCell ref="F25:H25"/>
    <mergeCell ref="F26:H26"/>
    <mergeCell ref="F27:H27"/>
    <mergeCell ref="A36:L36"/>
    <mergeCell ref="I27:J27"/>
    <mergeCell ref="I22:J22"/>
    <mergeCell ref="F22:H22"/>
    <mergeCell ref="F23:H23"/>
    <mergeCell ref="F24:H24"/>
    <mergeCell ref="I23:J23"/>
    <mergeCell ref="I24:J24"/>
    <mergeCell ref="A37:L37"/>
    <mergeCell ref="I28:L28"/>
    <mergeCell ref="I29:J29"/>
    <mergeCell ref="I30:J30"/>
    <mergeCell ref="F28:H28"/>
    <mergeCell ref="F29:H29"/>
    <mergeCell ref="F30:H30"/>
    <mergeCell ref="F31:H31"/>
    <mergeCell ref="F32:H32"/>
    <mergeCell ref="B42:D42"/>
    <mergeCell ref="G42:H42"/>
    <mergeCell ref="G43:H43"/>
    <mergeCell ref="G44:H44"/>
    <mergeCell ref="B43:D43"/>
    <mergeCell ref="G45:H45"/>
    <mergeCell ref="A38:L38"/>
    <mergeCell ref="B39:E39"/>
    <mergeCell ref="G39:L39"/>
    <mergeCell ref="B40:D40"/>
    <mergeCell ref="G40:H40"/>
    <mergeCell ref="B41:D41"/>
    <mergeCell ref="G41:H41"/>
    <mergeCell ref="A51:B51"/>
    <mergeCell ref="C51:D51"/>
    <mergeCell ref="A52:B52"/>
    <mergeCell ref="C52:D52"/>
    <mergeCell ref="A53:B53"/>
    <mergeCell ref="C53:D53"/>
    <mergeCell ref="G46:H46"/>
    <mergeCell ref="B48:L48"/>
    <mergeCell ref="A49:B50"/>
    <mergeCell ref="C49:D50"/>
    <mergeCell ref="E49:E50"/>
    <mergeCell ref="F49:F50"/>
    <mergeCell ref="G49:H49"/>
    <mergeCell ref="I49:J49"/>
    <mergeCell ref="K49:K50"/>
    <mergeCell ref="L49:L50"/>
    <mergeCell ref="A57:B57"/>
    <mergeCell ref="C57:D57"/>
    <mergeCell ref="A58:B58"/>
    <mergeCell ref="C58:D58"/>
    <mergeCell ref="A59:B59"/>
    <mergeCell ref="C59:D59"/>
    <mergeCell ref="A54:B54"/>
    <mergeCell ref="C54:D54"/>
    <mergeCell ref="A55:B55"/>
    <mergeCell ref="C55:D55"/>
    <mergeCell ref="A56:B56"/>
    <mergeCell ref="C56:D56"/>
    <mergeCell ref="A63:B63"/>
    <mergeCell ref="C63:D63"/>
    <mergeCell ref="A64:B64"/>
    <mergeCell ref="C64:D64"/>
    <mergeCell ref="A65:B65"/>
    <mergeCell ref="C65:D65"/>
    <mergeCell ref="A60:B60"/>
    <mergeCell ref="C60:D60"/>
    <mergeCell ref="A61:B61"/>
    <mergeCell ref="C61:D61"/>
    <mergeCell ref="A62:B62"/>
    <mergeCell ref="C62:D62"/>
    <mergeCell ref="A69:B69"/>
    <mergeCell ref="C69:D69"/>
    <mergeCell ref="D71:I71"/>
    <mergeCell ref="D72:E72"/>
    <mergeCell ref="D73:E73"/>
    <mergeCell ref="D74:E74"/>
    <mergeCell ref="A66:B66"/>
    <mergeCell ref="C66:D66"/>
    <mergeCell ref="A67:B67"/>
    <mergeCell ref="C67:D67"/>
    <mergeCell ref="A68:B68"/>
    <mergeCell ref="C68:D68"/>
    <mergeCell ref="C94:D94"/>
    <mergeCell ref="C102:D102"/>
    <mergeCell ref="C87:D87"/>
    <mergeCell ref="C88:D88"/>
    <mergeCell ref="C89:D89"/>
    <mergeCell ref="C86:D86"/>
    <mergeCell ref="C90:D90"/>
    <mergeCell ref="C91:D91"/>
    <mergeCell ref="D75:E75"/>
    <mergeCell ref="B78:L78"/>
    <mergeCell ref="C85:D85"/>
    <mergeCell ref="C84:D84"/>
    <mergeCell ref="C82:D82"/>
    <mergeCell ref="C79:D79"/>
    <mergeCell ref="C80:D80"/>
    <mergeCell ref="C81:D81"/>
    <mergeCell ref="C83:D83"/>
    <mergeCell ref="C114:D114"/>
    <mergeCell ref="C118:D118"/>
    <mergeCell ref="C123:D123"/>
    <mergeCell ref="C120:D120"/>
    <mergeCell ref="C110:D110"/>
    <mergeCell ref="C111:D111"/>
    <mergeCell ref="C112:D112"/>
    <mergeCell ref="C113:D113"/>
    <mergeCell ref="C121:D121"/>
    <mergeCell ref="C127:D127"/>
    <mergeCell ref="C126:D126"/>
    <mergeCell ref="C124:D124"/>
    <mergeCell ref="C125:D125"/>
    <mergeCell ref="C115:D115"/>
    <mergeCell ref="C116:D116"/>
    <mergeCell ref="C119:D119"/>
    <mergeCell ref="C117:D117"/>
    <mergeCell ref="D131:K131"/>
    <mergeCell ref="C122:D122"/>
    <mergeCell ref="D134:E134"/>
    <mergeCell ref="D135:E135"/>
    <mergeCell ref="B137:L137"/>
    <mergeCell ref="C138:D138"/>
    <mergeCell ref="C139:D139"/>
    <mergeCell ref="C140:D140"/>
    <mergeCell ref="D133:E133"/>
    <mergeCell ref="C128:D128"/>
    <mergeCell ref="C129:D129"/>
    <mergeCell ref="D132:E132"/>
    <mergeCell ref="C147:D147"/>
    <mergeCell ref="C148:D148"/>
    <mergeCell ref="C149:D149"/>
    <mergeCell ref="C150:D150"/>
    <mergeCell ref="C151:D151"/>
    <mergeCell ref="C152:D152"/>
    <mergeCell ref="C141:D141"/>
    <mergeCell ref="C142:D142"/>
    <mergeCell ref="C143:D143"/>
    <mergeCell ref="C144:D144"/>
    <mergeCell ref="C145:D145"/>
    <mergeCell ref="C146:D146"/>
    <mergeCell ref="D160:G160"/>
    <mergeCell ref="H160:I160"/>
    <mergeCell ref="D161:G161"/>
    <mergeCell ref="H161:I161"/>
    <mergeCell ref="D162:G162"/>
    <mergeCell ref="H162:I162"/>
    <mergeCell ref="C153:D153"/>
    <mergeCell ref="C154:D154"/>
    <mergeCell ref="C155:D155"/>
    <mergeCell ref="D158:I158"/>
    <mergeCell ref="D159:G159"/>
    <mergeCell ref="H159:I159"/>
    <mergeCell ref="C208:D208"/>
    <mergeCell ref="J208:K208"/>
    <mergeCell ref="C209:D209"/>
    <mergeCell ref="J209:K209"/>
    <mergeCell ref="C210:D210"/>
    <mergeCell ref="J210:K210"/>
    <mergeCell ref="B164:L164"/>
    <mergeCell ref="B205:L205"/>
    <mergeCell ref="C206:D206"/>
    <mergeCell ref="J206:K206"/>
    <mergeCell ref="C207:D207"/>
    <mergeCell ref="J207:K207"/>
    <mergeCell ref="C214:D214"/>
    <mergeCell ref="J214:K214"/>
    <mergeCell ref="C215:D215"/>
    <mergeCell ref="J215:K215"/>
    <mergeCell ref="C216:D216"/>
    <mergeCell ref="J216:K216"/>
    <mergeCell ref="C211:D211"/>
    <mergeCell ref="J211:K211"/>
    <mergeCell ref="C212:D212"/>
    <mergeCell ref="J212:K212"/>
    <mergeCell ref="C213:D213"/>
    <mergeCell ref="J213:K213"/>
    <mergeCell ref="C220:D220"/>
    <mergeCell ref="J220:K220"/>
    <mergeCell ref="C221:D221"/>
    <mergeCell ref="J221:K221"/>
    <mergeCell ref="C222:D222"/>
    <mergeCell ref="J222:K222"/>
    <mergeCell ref="C217:D217"/>
    <mergeCell ref="J217:K217"/>
    <mergeCell ref="C218:D218"/>
    <mergeCell ref="J218:K218"/>
    <mergeCell ref="C219:D219"/>
    <mergeCell ref="J219:K219"/>
    <mergeCell ref="C226:D226"/>
    <mergeCell ref="J226:K226"/>
    <mergeCell ref="C227:D227"/>
    <mergeCell ref="J227:K227"/>
    <mergeCell ref="C228:D228"/>
    <mergeCell ref="J228:K228"/>
    <mergeCell ref="C223:D223"/>
    <mergeCell ref="J223:K223"/>
    <mergeCell ref="C224:D224"/>
    <mergeCell ref="J224:K224"/>
    <mergeCell ref="C225:D225"/>
    <mergeCell ref="J225:K225"/>
    <mergeCell ref="C233:D233"/>
    <mergeCell ref="J233:K233"/>
    <mergeCell ref="C229:D229"/>
    <mergeCell ref="J229:K229"/>
    <mergeCell ref="C230:D230"/>
    <mergeCell ref="J230:K230"/>
    <mergeCell ref="C231:D231"/>
    <mergeCell ref="J231:K231"/>
    <mergeCell ref="C232:D232"/>
    <mergeCell ref="J232:K232"/>
    <mergeCell ref="G237:I237"/>
    <mergeCell ref="J237:K237"/>
    <mergeCell ref="G238:I238"/>
    <mergeCell ref="J238:K238"/>
    <mergeCell ref="G239:I239"/>
    <mergeCell ref="J239:K239"/>
    <mergeCell ref="C234:D234"/>
    <mergeCell ref="J234:K234"/>
    <mergeCell ref="C235:D235"/>
    <mergeCell ref="J235:K235"/>
    <mergeCell ref="C236:D236"/>
    <mergeCell ref="J236:K236"/>
    <mergeCell ref="E245:H245"/>
    <mergeCell ref="I245:J245"/>
    <mergeCell ref="B246:K246"/>
    <mergeCell ref="B247:D247"/>
    <mergeCell ref="G247:H247"/>
    <mergeCell ref="B248:D248"/>
    <mergeCell ref="G248:H248"/>
    <mergeCell ref="G240:I240"/>
    <mergeCell ref="J240:K240"/>
    <mergeCell ref="E242:J242"/>
    <mergeCell ref="E243:H243"/>
    <mergeCell ref="I243:J243"/>
    <mergeCell ref="E244:H244"/>
    <mergeCell ref="I244:J244"/>
    <mergeCell ref="B252:D252"/>
    <mergeCell ref="G252:H252"/>
    <mergeCell ref="B253:D253"/>
    <mergeCell ref="G253:H253"/>
    <mergeCell ref="B254:D254"/>
    <mergeCell ref="G254:H254"/>
    <mergeCell ref="B249:D249"/>
    <mergeCell ref="G249:H249"/>
    <mergeCell ref="B250:D250"/>
    <mergeCell ref="G250:H250"/>
    <mergeCell ref="B251:D251"/>
    <mergeCell ref="G251:H251"/>
    <mergeCell ref="B258:D258"/>
    <mergeCell ref="G258:H258"/>
    <mergeCell ref="B259:D259"/>
    <mergeCell ref="G259:H259"/>
    <mergeCell ref="B260:D260"/>
    <mergeCell ref="G260:H260"/>
    <mergeCell ref="B255:D255"/>
    <mergeCell ref="G255:H255"/>
    <mergeCell ref="B256:D256"/>
    <mergeCell ref="G256:H256"/>
    <mergeCell ref="B257:D257"/>
    <mergeCell ref="G257:H257"/>
    <mergeCell ref="B264:D264"/>
    <mergeCell ref="G264:H264"/>
    <mergeCell ref="B265:D265"/>
    <mergeCell ref="G265:H265"/>
    <mergeCell ref="B266:D266"/>
    <mergeCell ref="G266:H266"/>
    <mergeCell ref="B261:D261"/>
    <mergeCell ref="G261:H261"/>
    <mergeCell ref="B262:D262"/>
    <mergeCell ref="G262:H262"/>
    <mergeCell ref="B263:D263"/>
    <mergeCell ref="G263:H263"/>
    <mergeCell ref="B273:F273"/>
    <mergeCell ref="J273:K273"/>
    <mergeCell ref="B274:F274"/>
    <mergeCell ref="J274:K274"/>
    <mergeCell ref="B275:F275"/>
    <mergeCell ref="J275:K275"/>
    <mergeCell ref="F267:I267"/>
    <mergeCell ref="F268:I268"/>
    <mergeCell ref="F269:I269"/>
    <mergeCell ref="B271:L271"/>
    <mergeCell ref="B272:F272"/>
    <mergeCell ref="J272:K272"/>
    <mergeCell ref="B279:F279"/>
    <mergeCell ref="J279:K279"/>
    <mergeCell ref="B280:F280"/>
    <mergeCell ref="J280:K280"/>
    <mergeCell ref="B281:F281"/>
    <mergeCell ref="J281:K281"/>
    <mergeCell ref="B276:F276"/>
    <mergeCell ref="J276:K276"/>
    <mergeCell ref="B277:F277"/>
    <mergeCell ref="J277:K277"/>
    <mergeCell ref="B278:F278"/>
    <mergeCell ref="J278:K278"/>
    <mergeCell ref="B285:F285"/>
    <mergeCell ref="J285:K285"/>
    <mergeCell ref="B286:F286"/>
    <mergeCell ref="J286:K286"/>
    <mergeCell ref="B287:F287"/>
    <mergeCell ref="J287:K287"/>
    <mergeCell ref="B282:F282"/>
    <mergeCell ref="J282:K282"/>
    <mergeCell ref="B283:F283"/>
    <mergeCell ref="J283:K283"/>
    <mergeCell ref="B284:F284"/>
    <mergeCell ref="J284:K284"/>
    <mergeCell ref="B291:F291"/>
    <mergeCell ref="J291:K291"/>
    <mergeCell ref="B292:F292"/>
    <mergeCell ref="J292:K292"/>
    <mergeCell ref="B293:F293"/>
    <mergeCell ref="J293:K293"/>
    <mergeCell ref="B288:F288"/>
    <mergeCell ref="J288:K288"/>
    <mergeCell ref="B289:F289"/>
    <mergeCell ref="J289:K289"/>
    <mergeCell ref="B290:F290"/>
    <mergeCell ref="J290:K290"/>
    <mergeCell ref="B297:F297"/>
    <mergeCell ref="J297:K297"/>
    <mergeCell ref="B298:F298"/>
    <mergeCell ref="J298:K298"/>
    <mergeCell ref="B299:F299"/>
    <mergeCell ref="J299:K299"/>
    <mergeCell ref="B294:F294"/>
    <mergeCell ref="J294:K294"/>
    <mergeCell ref="B295:F295"/>
    <mergeCell ref="J295:K295"/>
    <mergeCell ref="B296:F296"/>
    <mergeCell ref="J296:K296"/>
    <mergeCell ref="B303:F303"/>
    <mergeCell ref="J303:K303"/>
    <mergeCell ref="B304:F304"/>
    <mergeCell ref="J304:K304"/>
    <mergeCell ref="B305:F305"/>
    <mergeCell ref="J305:K305"/>
    <mergeCell ref="B300:F300"/>
    <mergeCell ref="J300:K300"/>
    <mergeCell ref="B301:F301"/>
    <mergeCell ref="J301:K301"/>
    <mergeCell ref="B302:F302"/>
    <mergeCell ref="J302:K302"/>
    <mergeCell ref="B309:F309"/>
    <mergeCell ref="J309:K309"/>
    <mergeCell ref="H310:I310"/>
    <mergeCell ref="J310:K310"/>
    <mergeCell ref="H311:I311"/>
    <mergeCell ref="J311:K311"/>
    <mergeCell ref="B306:F306"/>
    <mergeCell ref="J306:K306"/>
    <mergeCell ref="B307:F307"/>
    <mergeCell ref="J307:K307"/>
    <mergeCell ref="B308:F308"/>
    <mergeCell ref="J308:K308"/>
    <mergeCell ref="B316:E316"/>
    <mergeCell ref="H316:I316"/>
    <mergeCell ref="J316:K316"/>
    <mergeCell ref="B317:E317"/>
    <mergeCell ref="H317:I317"/>
    <mergeCell ref="J317:K317"/>
    <mergeCell ref="H312:I312"/>
    <mergeCell ref="J312:K312"/>
    <mergeCell ref="B314:L314"/>
    <mergeCell ref="B315:E315"/>
    <mergeCell ref="H315:I315"/>
    <mergeCell ref="J315:K315"/>
    <mergeCell ref="B320:E320"/>
    <mergeCell ref="H320:I320"/>
    <mergeCell ref="J320:K320"/>
    <mergeCell ref="B321:E321"/>
    <mergeCell ref="H321:I321"/>
    <mergeCell ref="J321:K321"/>
    <mergeCell ref="B318:E318"/>
    <mergeCell ref="H318:I318"/>
    <mergeCell ref="J318:K318"/>
    <mergeCell ref="B319:E319"/>
    <mergeCell ref="H319:I319"/>
    <mergeCell ref="J319:K319"/>
    <mergeCell ref="B324:E324"/>
    <mergeCell ref="H324:I324"/>
    <mergeCell ref="J324:K324"/>
    <mergeCell ref="B325:E325"/>
    <mergeCell ref="H325:I325"/>
    <mergeCell ref="J325:K325"/>
    <mergeCell ref="B322:E322"/>
    <mergeCell ref="H322:I322"/>
    <mergeCell ref="J322:K322"/>
    <mergeCell ref="B323:E323"/>
    <mergeCell ref="H323:I323"/>
    <mergeCell ref="J323:K323"/>
    <mergeCell ref="B328:E328"/>
    <mergeCell ref="H328:I328"/>
    <mergeCell ref="J328:K328"/>
    <mergeCell ref="B329:E329"/>
    <mergeCell ref="H329:I329"/>
    <mergeCell ref="J329:K329"/>
    <mergeCell ref="B326:E326"/>
    <mergeCell ref="H326:I326"/>
    <mergeCell ref="J326:K326"/>
    <mergeCell ref="B327:E327"/>
    <mergeCell ref="H327:I327"/>
    <mergeCell ref="J327:K327"/>
    <mergeCell ref="B331:L331"/>
    <mergeCell ref="B332:D332"/>
    <mergeCell ref="F332:G332"/>
    <mergeCell ref="H332:I332"/>
    <mergeCell ref="J332:K332"/>
    <mergeCell ref="B333:D333"/>
    <mergeCell ref="F333:G333"/>
    <mergeCell ref="H333:I333"/>
    <mergeCell ref="J333:K333"/>
    <mergeCell ref="B336:D336"/>
    <mergeCell ref="F336:G336"/>
    <mergeCell ref="H336:I336"/>
    <mergeCell ref="J336:K336"/>
    <mergeCell ref="B337:D337"/>
    <mergeCell ref="F337:G337"/>
    <mergeCell ref="H337:I337"/>
    <mergeCell ref="J337:K337"/>
    <mergeCell ref="B334:D334"/>
    <mergeCell ref="F334:G334"/>
    <mergeCell ref="H334:I334"/>
    <mergeCell ref="J334:K334"/>
    <mergeCell ref="B335:D335"/>
    <mergeCell ref="F335:G335"/>
    <mergeCell ref="H335:I335"/>
    <mergeCell ref="J335:K335"/>
    <mergeCell ref="B340:D340"/>
    <mergeCell ref="F340:G340"/>
    <mergeCell ref="H340:I340"/>
    <mergeCell ref="J340:K340"/>
    <mergeCell ref="B341:D341"/>
    <mergeCell ref="F341:G341"/>
    <mergeCell ref="H341:I341"/>
    <mergeCell ref="J341:K341"/>
    <mergeCell ref="A338:D338"/>
    <mergeCell ref="F338:G338"/>
    <mergeCell ref="H338:I338"/>
    <mergeCell ref="J338:K338"/>
    <mergeCell ref="B339:D339"/>
    <mergeCell ref="F339:G339"/>
    <mergeCell ref="H339:I339"/>
    <mergeCell ref="J339:K339"/>
    <mergeCell ref="B344:D344"/>
    <mergeCell ref="F344:G344"/>
    <mergeCell ref="H344:I344"/>
    <mergeCell ref="J344:K344"/>
    <mergeCell ref="A345:D345"/>
    <mergeCell ref="F345:G345"/>
    <mergeCell ref="H345:I345"/>
    <mergeCell ref="J345:K345"/>
    <mergeCell ref="B342:D342"/>
    <mergeCell ref="F342:G342"/>
    <mergeCell ref="H342:I342"/>
    <mergeCell ref="J342:K342"/>
    <mergeCell ref="B343:D343"/>
    <mergeCell ref="F343:G343"/>
    <mergeCell ref="H343:I343"/>
    <mergeCell ref="J343:K343"/>
    <mergeCell ref="B348:D348"/>
    <mergeCell ref="F348:G348"/>
    <mergeCell ref="H348:I348"/>
    <mergeCell ref="J348:K348"/>
    <mergeCell ref="B349:D349"/>
    <mergeCell ref="F349:G349"/>
    <mergeCell ref="H349:I349"/>
    <mergeCell ref="J349:K349"/>
    <mergeCell ref="B346:D346"/>
    <mergeCell ref="F346:G346"/>
    <mergeCell ref="H346:I346"/>
    <mergeCell ref="J346:K346"/>
    <mergeCell ref="B347:D347"/>
    <mergeCell ref="F347:G347"/>
    <mergeCell ref="H347:I347"/>
    <mergeCell ref="J347:K347"/>
    <mergeCell ref="B352:D352"/>
    <mergeCell ref="F352:G352"/>
    <mergeCell ref="H352:I352"/>
    <mergeCell ref="J352:K352"/>
    <mergeCell ref="B353:D353"/>
    <mergeCell ref="F353:G353"/>
    <mergeCell ref="H353:I353"/>
    <mergeCell ref="J353:K353"/>
    <mergeCell ref="B350:D350"/>
    <mergeCell ref="F350:G350"/>
    <mergeCell ref="H350:I350"/>
    <mergeCell ref="J350:K350"/>
    <mergeCell ref="B351:D351"/>
    <mergeCell ref="F351:G351"/>
    <mergeCell ref="H351:I351"/>
    <mergeCell ref="J351:K351"/>
    <mergeCell ref="C357:J357"/>
    <mergeCell ref="C358:D358"/>
    <mergeCell ref="E358:H358"/>
    <mergeCell ref="I358:J358"/>
    <mergeCell ref="C359:D359"/>
    <mergeCell ref="E359:H359"/>
    <mergeCell ref="I359:J359"/>
    <mergeCell ref="B354:D354"/>
    <mergeCell ref="F354:G354"/>
    <mergeCell ref="H354:I354"/>
    <mergeCell ref="J354:K354"/>
    <mergeCell ref="B355:D355"/>
    <mergeCell ref="F355:G355"/>
    <mergeCell ref="H355:I355"/>
    <mergeCell ref="J355:K355"/>
    <mergeCell ref="C362:D362"/>
    <mergeCell ref="E362:H362"/>
    <mergeCell ref="I362:J362"/>
    <mergeCell ref="C363:D363"/>
    <mergeCell ref="E363:H363"/>
    <mergeCell ref="I363:J363"/>
    <mergeCell ref="C360:D360"/>
    <mergeCell ref="E360:H360"/>
    <mergeCell ref="I360:J360"/>
    <mergeCell ref="C361:D361"/>
    <mergeCell ref="E361:H361"/>
    <mergeCell ref="I361:J361"/>
    <mergeCell ref="C366:D366"/>
    <mergeCell ref="E366:H366"/>
    <mergeCell ref="I366:J366"/>
    <mergeCell ref="B368:L368"/>
    <mergeCell ref="B369:E369"/>
    <mergeCell ref="H369:I369"/>
    <mergeCell ref="J369:K369"/>
    <mergeCell ref="C364:D364"/>
    <mergeCell ref="E364:H364"/>
    <mergeCell ref="I364:J364"/>
    <mergeCell ref="C365:D365"/>
    <mergeCell ref="E365:H365"/>
    <mergeCell ref="I365:J365"/>
    <mergeCell ref="B372:E372"/>
    <mergeCell ref="H372:I372"/>
    <mergeCell ref="J372:K372"/>
    <mergeCell ref="B373:E373"/>
    <mergeCell ref="H373:I373"/>
    <mergeCell ref="J373:K373"/>
    <mergeCell ref="B370:E370"/>
    <mergeCell ref="H370:I370"/>
    <mergeCell ref="J370:K370"/>
    <mergeCell ref="B371:E371"/>
    <mergeCell ref="H371:I371"/>
    <mergeCell ref="J371:K371"/>
    <mergeCell ref="B376:E376"/>
    <mergeCell ref="H376:I376"/>
    <mergeCell ref="J376:K376"/>
    <mergeCell ref="B377:E377"/>
    <mergeCell ref="H377:I377"/>
    <mergeCell ref="J377:K377"/>
    <mergeCell ref="B374:E374"/>
    <mergeCell ref="H374:I374"/>
    <mergeCell ref="J374:K374"/>
    <mergeCell ref="B375:E375"/>
    <mergeCell ref="H375:I375"/>
    <mergeCell ref="J375:K375"/>
    <mergeCell ref="B380:E380"/>
    <mergeCell ref="H380:I380"/>
    <mergeCell ref="J380:K380"/>
    <mergeCell ref="B381:E381"/>
    <mergeCell ref="H381:I381"/>
    <mergeCell ref="J381:K381"/>
    <mergeCell ref="B378:E378"/>
    <mergeCell ref="H378:I378"/>
    <mergeCell ref="J378:K378"/>
    <mergeCell ref="B379:E379"/>
    <mergeCell ref="H379:I379"/>
    <mergeCell ref="J379:K379"/>
    <mergeCell ref="B384:E384"/>
    <mergeCell ref="H384:I384"/>
    <mergeCell ref="J384:K384"/>
    <mergeCell ref="B385:E385"/>
    <mergeCell ref="H385:I385"/>
    <mergeCell ref="J385:K385"/>
    <mergeCell ref="B382:E382"/>
    <mergeCell ref="H382:I382"/>
    <mergeCell ref="J382:K382"/>
    <mergeCell ref="B383:E383"/>
    <mergeCell ref="H383:I383"/>
    <mergeCell ref="J383:K383"/>
    <mergeCell ref="B388:E388"/>
    <mergeCell ref="H388:I388"/>
    <mergeCell ref="J388:K388"/>
    <mergeCell ref="B389:E389"/>
    <mergeCell ref="H389:I389"/>
    <mergeCell ref="J389:K389"/>
    <mergeCell ref="B386:E386"/>
    <mergeCell ref="H386:I386"/>
    <mergeCell ref="J386:K386"/>
    <mergeCell ref="B387:E387"/>
    <mergeCell ref="H387:I387"/>
    <mergeCell ref="J387:K387"/>
    <mergeCell ref="B392:E392"/>
    <mergeCell ref="H392:I392"/>
    <mergeCell ref="J392:K392"/>
    <mergeCell ref="B393:E393"/>
    <mergeCell ref="H393:I393"/>
    <mergeCell ref="J393:K393"/>
    <mergeCell ref="B390:E390"/>
    <mergeCell ref="H390:I390"/>
    <mergeCell ref="J390:K390"/>
    <mergeCell ref="B391:E391"/>
    <mergeCell ref="H391:I391"/>
    <mergeCell ref="J391:K391"/>
    <mergeCell ref="B396:E396"/>
    <mergeCell ref="H396:I396"/>
    <mergeCell ref="J396:K396"/>
    <mergeCell ref="A397:E397"/>
    <mergeCell ref="H397:I397"/>
    <mergeCell ref="J397:K397"/>
    <mergeCell ref="B394:E394"/>
    <mergeCell ref="H394:I394"/>
    <mergeCell ref="J394:K394"/>
    <mergeCell ref="B395:E395"/>
    <mergeCell ref="H395:I395"/>
    <mergeCell ref="J395:K395"/>
    <mergeCell ref="B401:E401"/>
    <mergeCell ref="H401:I401"/>
    <mergeCell ref="J401:K401"/>
    <mergeCell ref="B402:E402"/>
    <mergeCell ref="H402:I402"/>
    <mergeCell ref="J402:K402"/>
    <mergeCell ref="B398:L398"/>
    <mergeCell ref="B399:E399"/>
    <mergeCell ref="H399:I399"/>
    <mergeCell ref="J399:K399"/>
    <mergeCell ref="B400:E400"/>
    <mergeCell ref="H400:I400"/>
    <mergeCell ref="J400:K400"/>
    <mergeCell ref="B405:E405"/>
    <mergeCell ref="H405:I405"/>
    <mergeCell ref="J405:K405"/>
    <mergeCell ref="B406:E406"/>
    <mergeCell ref="H406:I406"/>
    <mergeCell ref="J406:K406"/>
    <mergeCell ref="B403:E403"/>
    <mergeCell ref="H403:I403"/>
    <mergeCell ref="J403:K403"/>
    <mergeCell ref="B404:E404"/>
    <mergeCell ref="H404:I404"/>
    <mergeCell ref="J404:K404"/>
    <mergeCell ref="B409:E409"/>
    <mergeCell ref="H409:I409"/>
    <mergeCell ref="J409:K409"/>
    <mergeCell ref="B410:E410"/>
    <mergeCell ref="H410:I410"/>
    <mergeCell ref="J410:K410"/>
    <mergeCell ref="B407:E407"/>
    <mergeCell ref="H407:I407"/>
    <mergeCell ref="J407:K407"/>
    <mergeCell ref="B408:E408"/>
    <mergeCell ref="H408:I408"/>
    <mergeCell ref="J408:K408"/>
    <mergeCell ref="B413:E413"/>
    <mergeCell ref="H413:I413"/>
    <mergeCell ref="J413:K413"/>
    <mergeCell ref="B414:E414"/>
    <mergeCell ref="H414:I414"/>
    <mergeCell ref="J414:K414"/>
    <mergeCell ref="B411:E411"/>
    <mergeCell ref="H411:I411"/>
    <mergeCell ref="J411:K411"/>
    <mergeCell ref="B412:E412"/>
    <mergeCell ref="H412:I412"/>
    <mergeCell ref="J412:K412"/>
    <mergeCell ref="B417:E417"/>
    <mergeCell ref="H417:I417"/>
    <mergeCell ref="J417:K417"/>
    <mergeCell ref="B418:E418"/>
    <mergeCell ref="H418:I418"/>
    <mergeCell ref="J418:K418"/>
    <mergeCell ref="B415:E415"/>
    <mergeCell ref="H415:I415"/>
    <mergeCell ref="J415:K415"/>
    <mergeCell ref="B416:E416"/>
    <mergeCell ref="H416:I416"/>
    <mergeCell ref="J416:K416"/>
    <mergeCell ref="H424:I424"/>
    <mergeCell ref="J424:K424"/>
    <mergeCell ref="B421:E421"/>
    <mergeCell ref="H421:I421"/>
    <mergeCell ref="J421:K421"/>
    <mergeCell ref="B422:E422"/>
    <mergeCell ref="H422:I422"/>
    <mergeCell ref="J422:K422"/>
    <mergeCell ref="B419:E419"/>
    <mergeCell ref="H419:I419"/>
    <mergeCell ref="J419:K419"/>
    <mergeCell ref="B420:E420"/>
    <mergeCell ref="H420:I420"/>
    <mergeCell ref="J420:K420"/>
    <mergeCell ref="B453:C453"/>
    <mergeCell ref="B450:C450"/>
    <mergeCell ref="B451:C451"/>
    <mergeCell ref="B439:C439"/>
    <mergeCell ref="B440:C440"/>
    <mergeCell ref="B443:C443"/>
    <mergeCell ref="B444:C444"/>
    <mergeCell ref="B431:C431"/>
    <mergeCell ref="H431:I431"/>
    <mergeCell ref="H433:I433"/>
    <mergeCell ref="B438:C438"/>
    <mergeCell ref="B436:C436"/>
    <mergeCell ref="B437:C437"/>
    <mergeCell ref="B435:C435"/>
    <mergeCell ref="H435:I435"/>
    <mergeCell ref="B434:C434"/>
    <mergeCell ref="H434:I434"/>
    <mergeCell ref="H453:I453"/>
    <mergeCell ref="H447:I447"/>
    <mergeCell ref="H448:I448"/>
    <mergeCell ref="H449:I449"/>
    <mergeCell ref="H450:I450"/>
    <mergeCell ref="H441:I441"/>
    <mergeCell ref="H442:I442"/>
    <mergeCell ref="B441:C441"/>
    <mergeCell ref="B442:C442"/>
    <mergeCell ref="B448:C448"/>
    <mergeCell ref="B449:C449"/>
    <mergeCell ref="B445:C445"/>
    <mergeCell ref="B446:C446"/>
    <mergeCell ref="H436:I436"/>
    <mergeCell ref="H437:I437"/>
    <mergeCell ref="B452:C452"/>
    <mergeCell ref="H451:I451"/>
    <mergeCell ref="H452:I452"/>
    <mergeCell ref="H443:I443"/>
    <mergeCell ref="H444:I444"/>
    <mergeCell ref="H445:I445"/>
    <mergeCell ref="H446:I446"/>
    <mergeCell ref="H439:I439"/>
    <mergeCell ref="H440:I440"/>
    <mergeCell ref="J435:K435"/>
    <mergeCell ref="A1:L1"/>
    <mergeCell ref="B432:C432"/>
    <mergeCell ref="B433:C433"/>
    <mergeCell ref="B428:E428"/>
    <mergeCell ref="J428:K428"/>
    <mergeCell ref="B430:L430"/>
    <mergeCell ref="H6:J6"/>
    <mergeCell ref="A6:G6"/>
    <mergeCell ref="H432:I432"/>
    <mergeCell ref="B425:E425"/>
    <mergeCell ref="H425:I425"/>
    <mergeCell ref="J425:K425"/>
    <mergeCell ref="J431:K431"/>
    <mergeCell ref="B426:E426"/>
    <mergeCell ref="H426:I426"/>
    <mergeCell ref="J426:K426"/>
    <mergeCell ref="B427:E427"/>
    <mergeCell ref="H427:I427"/>
    <mergeCell ref="J427:K427"/>
    <mergeCell ref="B423:E423"/>
    <mergeCell ref="H423:I423"/>
    <mergeCell ref="J423:K423"/>
    <mergeCell ref="B424:E424"/>
    <mergeCell ref="C109:D109"/>
    <mergeCell ref="I31:J31"/>
    <mergeCell ref="I34:J34"/>
    <mergeCell ref="I35:J35"/>
    <mergeCell ref="I32:L32"/>
    <mergeCell ref="I33:L33"/>
    <mergeCell ref="C107:D107"/>
    <mergeCell ref="F33:H33"/>
    <mergeCell ref="F34:H34"/>
    <mergeCell ref="F35:H35"/>
    <mergeCell ref="C108:D108"/>
    <mergeCell ref="C106:D106"/>
    <mergeCell ref="C97:D97"/>
    <mergeCell ref="C98:D98"/>
    <mergeCell ref="C99:D99"/>
    <mergeCell ref="C100:D100"/>
    <mergeCell ref="C101:D101"/>
    <mergeCell ref="C104:D104"/>
    <mergeCell ref="C105:D105"/>
    <mergeCell ref="C103:D103"/>
    <mergeCell ref="C95:D95"/>
    <mergeCell ref="C96:D96"/>
    <mergeCell ref="C92:D92"/>
    <mergeCell ref="C93:D93"/>
  </mergeCells>
  <phoneticPr fontId="1" type="noConversion"/>
  <pageMargins left="0.30128205128205099" right="0.5" top="0.16666666666666699" bottom="0.5" header="0.25" footer="0.25"/>
  <pageSetup paperSize="9" scale="48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Tender Costing</vt:lpstr>
      <vt:lpstr>'Tender Costing'!Print_Area</vt:lpstr>
      <vt:lpstr>'Tender Costing'!Print_Titles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Pentium IV 2000MHZ</dc:creator>
  <cp:lastModifiedBy>Ernest njoroge</cp:lastModifiedBy>
  <cp:lastPrinted>2025-11-30T16:46:38Z</cp:lastPrinted>
  <dcterms:created xsi:type="dcterms:W3CDTF">2003-06-29T12:08:11Z</dcterms:created>
  <dcterms:modified xsi:type="dcterms:W3CDTF">2025-11-30T16:51:58Z</dcterms:modified>
</cp:coreProperties>
</file>